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85" windowWidth="15120" windowHeight="6930"/>
  </bookViews>
  <sheets>
    <sheet name="ист" sheetId="24" r:id="rId1"/>
    <sheet name="дох" sheetId="23" r:id="rId2"/>
    <sheet name="функ" sheetId="25" r:id="rId3"/>
    <sheet name="вед" sheetId="26" r:id="rId4"/>
    <sheet name="прогрограммы 4" sheetId="13" r:id="rId5"/>
    <sheet name="прил5" sheetId="19" r:id="rId6"/>
    <sheet name="прил7 с" sheetId="18" r:id="rId7"/>
    <sheet name="прил 8" sheetId="17" r:id="rId8"/>
    <sheet name="ДОР" sheetId="27" r:id="rId9"/>
    <sheet name="РФ" sheetId="28" r:id="rId10"/>
    <sheet name="СФ" sheetId="29" r:id="rId11"/>
    <sheet name="конс" sheetId="30" r:id="rId12"/>
    <sheet name="Лист1" sheetId="31" r:id="rId13"/>
  </sheets>
  <externalReferences>
    <externalReference r:id="rId14"/>
  </externalReferences>
  <definedNames>
    <definedName name="_xlnm.Print_Area" localSheetId="5">прил5!$A$1:$F$14</definedName>
    <definedName name="_xlnm.Print_Area" localSheetId="4">'прогрограммы 4'!$A$1:$N$32</definedName>
  </definedNames>
  <calcPr calcId="145621"/>
</workbook>
</file>

<file path=xl/calcChain.xml><?xml version="1.0" encoding="utf-8"?>
<calcChain xmlns="http://schemas.openxmlformats.org/spreadsheetml/2006/main">
  <c r="H86" i="30" l="1"/>
  <c r="G86" i="30"/>
  <c r="F85" i="30"/>
  <c r="H85" i="30" s="1"/>
  <c r="E85" i="30"/>
  <c r="H84" i="30"/>
  <c r="G84" i="30"/>
  <c r="H83" i="30"/>
  <c r="G83" i="30"/>
  <c r="H82" i="30"/>
  <c r="G82" i="30"/>
  <c r="H81" i="30"/>
  <c r="G81" i="30"/>
  <c r="H80" i="30"/>
  <c r="G80" i="30"/>
  <c r="H79" i="30"/>
  <c r="G79" i="30"/>
  <c r="H78" i="30"/>
  <c r="G78" i="30"/>
  <c r="H77" i="30"/>
  <c r="G77" i="30"/>
  <c r="H76" i="30"/>
  <c r="G76" i="30"/>
  <c r="F75" i="30"/>
  <c r="H75" i="30" s="1"/>
  <c r="E75" i="30"/>
  <c r="H74" i="30"/>
  <c r="G74" i="30"/>
  <c r="H73" i="30"/>
  <c r="G73" i="30"/>
  <c r="H72" i="30"/>
  <c r="G72" i="30"/>
  <c r="H71" i="30"/>
  <c r="G71" i="30"/>
  <c r="H70" i="30"/>
  <c r="G70" i="30"/>
  <c r="H69" i="30"/>
  <c r="G69" i="30"/>
  <c r="H68" i="30"/>
  <c r="G68" i="30"/>
  <c r="H67" i="30"/>
  <c r="G67" i="30"/>
  <c r="F66" i="30"/>
  <c r="H66" i="30" s="1"/>
  <c r="E66" i="30"/>
  <c r="H65" i="30"/>
  <c r="G65" i="30"/>
  <c r="H64" i="30"/>
  <c r="G64" i="30"/>
  <c r="F63" i="30"/>
  <c r="H63" i="30" s="1"/>
  <c r="E63" i="30"/>
  <c r="F62" i="30"/>
  <c r="H62" i="30" s="1"/>
  <c r="E62" i="30"/>
  <c r="F61" i="30"/>
  <c r="H61" i="30" s="1"/>
  <c r="E61" i="30"/>
  <c r="H59" i="30"/>
  <c r="G59" i="30"/>
  <c r="H58" i="30"/>
  <c r="G58" i="30"/>
  <c r="F58" i="30"/>
  <c r="E58" i="30"/>
  <c r="H57" i="30"/>
  <c r="G57" i="30"/>
  <c r="H56" i="30"/>
  <c r="G56" i="30"/>
  <c r="H55" i="30"/>
  <c r="G55" i="30"/>
  <c r="H54" i="30"/>
  <c r="G54" i="30"/>
  <c r="H53" i="30"/>
  <c r="G53" i="30"/>
  <c r="H52" i="30"/>
  <c r="G52" i="30"/>
  <c r="H51" i="30"/>
  <c r="G51" i="30"/>
  <c r="H50" i="30"/>
  <c r="G50" i="30"/>
  <c r="H49" i="30"/>
  <c r="G49" i="30"/>
  <c r="H48" i="30"/>
  <c r="G48" i="30"/>
  <c r="H47" i="30"/>
  <c r="G47" i="30"/>
  <c r="H46" i="30"/>
  <c r="G46" i="30"/>
  <c r="H45" i="30"/>
  <c r="G45" i="30"/>
  <c r="F45" i="30"/>
  <c r="E45" i="30"/>
  <c r="H44" i="30"/>
  <c r="G44" i="30"/>
  <c r="F43" i="30"/>
  <c r="H43" i="30" s="1"/>
  <c r="E43" i="30"/>
  <c r="H42" i="30"/>
  <c r="H41" i="30"/>
  <c r="H40" i="30"/>
  <c r="G40" i="30"/>
  <c r="F40" i="30"/>
  <c r="E40" i="30"/>
  <c r="H39" i="30"/>
  <c r="G39" i="30"/>
  <c r="F38" i="30"/>
  <c r="H38" i="30" s="1"/>
  <c r="E38" i="30"/>
  <c r="H37" i="30"/>
  <c r="G37" i="30"/>
  <c r="H36" i="30"/>
  <c r="G36" i="30"/>
  <c r="H35" i="30"/>
  <c r="H34" i="30"/>
  <c r="G34" i="30"/>
  <c r="H33" i="30"/>
  <c r="H32" i="30"/>
  <c r="G32" i="30"/>
  <c r="G31" i="30"/>
  <c r="F31" i="30"/>
  <c r="E31" i="30"/>
  <c r="H31" i="30" s="1"/>
  <c r="E30" i="30"/>
  <c r="H29" i="30"/>
  <c r="H28" i="30"/>
  <c r="H27" i="30"/>
  <c r="G27" i="30"/>
  <c r="G26" i="30"/>
  <c r="F26" i="30"/>
  <c r="E26" i="30"/>
  <c r="H26" i="30" s="1"/>
  <c r="H25" i="30"/>
  <c r="G25" i="30"/>
  <c r="H24" i="30"/>
  <c r="G24" i="30"/>
  <c r="H23" i="30"/>
  <c r="G23" i="30"/>
  <c r="F23" i="30"/>
  <c r="E23" i="30"/>
  <c r="H22" i="30"/>
  <c r="G22" i="30"/>
  <c r="H21" i="30"/>
  <c r="G21" i="30"/>
  <c r="H20" i="30"/>
  <c r="G20" i="30"/>
  <c r="F20" i="30"/>
  <c r="E20" i="30"/>
  <c r="H19" i="30"/>
  <c r="G19" i="30"/>
  <c r="H18" i="30"/>
  <c r="G18" i="30"/>
  <c r="H17" i="30"/>
  <c r="G17" i="30"/>
  <c r="F16" i="30"/>
  <c r="H16" i="30" s="1"/>
  <c r="E16" i="30"/>
  <c r="H15" i="30"/>
  <c r="G15" i="30"/>
  <c r="H14" i="30"/>
  <c r="G14" i="30"/>
  <c r="F14" i="30"/>
  <c r="E14" i="30"/>
  <c r="H13" i="30"/>
  <c r="G13" i="30"/>
  <c r="F12" i="30"/>
  <c r="H12" i="30" s="1"/>
  <c r="E12" i="30"/>
  <c r="E11" i="30" s="1"/>
  <c r="E10" i="30" s="1"/>
  <c r="E60" i="30" s="1"/>
  <c r="E88" i="30" s="1"/>
  <c r="G85" i="30" l="1"/>
  <c r="G38" i="30"/>
  <c r="G43" i="30"/>
  <c r="G61" i="30"/>
  <c r="G62" i="30"/>
  <c r="G63" i="30"/>
  <c r="G66" i="30"/>
  <c r="G75" i="30"/>
  <c r="F11" i="30"/>
  <c r="G12" i="30"/>
  <c r="G16" i="30"/>
  <c r="F30" i="30"/>
  <c r="H30" i="30" l="1"/>
  <c r="G30" i="30"/>
  <c r="H11" i="30"/>
  <c r="F10" i="30"/>
  <c r="G11" i="30"/>
  <c r="H10" i="30" l="1"/>
  <c r="G10" i="30"/>
  <c r="F60" i="30"/>
  <c r="H60" i="30" l="1"/>
  <c r="G60" i="30"/>
  <c r="F88" i="30"/>
  <c r="H88" i="30" l="1"/>
  <c r="G88" i="30"/>
  <c r="F84" i="23" l="1"/>
  <c r="E84" i="23"/>
  <c r="F83" i="23"/>
  <c r="E83" i="23"/>
  <c r="D82" i="23"/>
  <c r="F82" i="23" s="1"/>
  <c r="C82" i="23"/>
  <c r="E82" i="23" s="1"/>
  <c r="F80" i="23"/>
  <c r="E80" i="23"/>
  <c r="F79" i="23"/>
  <c r="E79" i="23"/>
  <c r="E77" i="23"/>
  <c r="C77" i="23"/>
  <c r="F77" i="23" s="1"/>
  <c r="F76" i="23"/>
  <c r="E76" i="23"/>
  <c r="C75" i="23"/>
  <c r="E75" i="23" s="1"/>
  <c r="F74" i="23"/>
  <c r="E74" i="23"/>
  <c r="F73" i="23"/>
  <c r="E73" i="23"/>
  <c r="F71" i="23"/>
  <c r="E71" i="23"/>
  <c r="F70" i="23"/>
  <c r="E70" i="23"/>
  <c r="D69" i="23"/>
  <c r="F69" i="23" s="1"/>
  <c r="C69" i="23"/>
  <c r="F68" i="23"/>
  <c r="E68" i="23"/>
  <c r="F67" i="23"/>
  <c r="E67" i="23"/>
  <c r="F66" i="23"/>
  <c r="E66" i="23"/>
  <c r="F65" i="23"/>
  <c r="E65" i="23"/>
  <c r="F64" i="23"/>
  <c r="E64" i="23"/>
  <c r="F63" i="23"/>
  <c r="E63" i="23"/>
  <c r="F62" i="23"/>
  <c r="E62" i="23"/>
  <c r="F61" i="23"/>
  <c r="E61" i="23"/>
  <c r="F60" i="23"/>
  <c r="E60" i="23"/>
  <c r="F59" i="23"/>
  <c r="E59" i="23"/>
  <c r="F58" i="23"/>
  <c r="E58" i="23"/>
  <c r="F57" i="23"/>
  <c r="E57" i="23"/>
  <c r="F56" i="23"/>
  <c r="E56" i="23"/>
  <c r="F55" i="23"/>
  <c r="E55" i="23"/>
  <c r="D54" i="23"/>
  <c r="F54" i="23" s="1"/>
  <c r="C54" i="23"/>
  <c r="E54" i="23" s="1"/>
  <c r="F53" i="23"/>
  <c r="E53" i="23"/>
  <c r="F52" i="23"/>
  <c r="E52" i="23"/>
  <c r="D51" i="23"/>
  <c r="F51" i="23" s="1"/>
  <c r="C51" i="23"/>
  <c r="E51" i="23" s="1"/>
  <c r="D50" i="23"/>
  <c r="F50" i="23" s="1"/>
  <c r="C50" i="23"/>
  <c r="D49" i="23"/>
  <c r="F49" i="23" s="1"/>
  <c r="C49" i="23"/>
  <c r="C47" i="23"/>
  <c r="F46" i="23"/>
  <c r="E46" i="23"/>
  <c r="F45" i="23"/>
  <c r="E45" i="23"/>
  <c r="F44" i="23"/>
  <c r="D44" i="23"/>
  <c r="E44" i="23" s="1"/>
  <c r="C44" i="23"/>
  <c r="C41" i="23"/>
  <c r="F39" i="23"/>
  <c r="E39" i="23"/>
  <c r="E38" i="23"/>
  <c r="D38" i="23"/>
  <c r="C38" i="23"/>
  <c r="F38" i="23" s="1"/>
  <c r="F37" i="23"/>
  <c r="E37" i="23"/>
  <c r="F36" i="23"/>
  <c r="E36" i="23"/>
  <c r="F35" i="23"/>
  <c r="E35" i="23"/>
  <c r="F34" i="23"/>
  <c r="E34" i="23"/>
  <c r="D33" i="23"/>
  <c r="C33" i="23"/>
  <c r="E33" i="23" s="1"/>
  <c r="F32" i="23"/>
  <c r="E32" i="23"/>
  <c r="C29" i="23"/>
  <c r="F28" i="23"/>
  <c r="E28" i="23"/>
  <c r="E27" i="23"/>
  <c r="D27" i="23"/>
  <c r="F27" i="23" s="1"/>
  <c r="C27" i="23"/>
  <c r="F26" i="23"/>
  <c r="E26" i="23"/>
  <c r="F25" i="23"/>
  <c r="E25" i="23"/>
  <c r="F24" i="23"/>
  <c r="E24" i="23"/>
  <c r="D23" i="23"/>
  <c r="C23" i="23"/>
  <c r="E23" i="23" s="1"/>
  <c r="F22" i="23"/>
  <c r="E22" i="23"/>
  <c r="F21" i="23"/>
  <c r="E21" i="23"/>
  <c r="F20" i="23"/>
  <c r="E20" i="23"/>
  <c r="F19" i="23"/>
  <c r="E19" i="23"/>
  <c r="D18" i="23"/>
  <c r="C18" i="23"/>
  <c r="E18" i="23" s="1"/>
  <c r="F17" i="23"/>
  <c r="E17" i="23"/>
  <c r="E16" i="23"/>
  <c r="D16" i="23"/>
  <c r="F16" i="23" s="1"/>
  <c r="C16" i="23"/>
  <c r="C15" i="23" l="1"/>
  <c r="F18" i="23"/>
  <c r="F23" i="23"/>
  <c r="F33" i="23"/>
  <c r="F75" i="23"/>
  <c r="E49" i="23"/>
  <c r="E50" i="23"/>
  <c r="E69" i="23"/>
  <c r="D85" i="23"/>
  <c r="G43" i="27"/>
  <c r="G42" i="27"/>
  <c r="G41" i="27" s="1"/>
  <c r="I41" i="27"/>
  <c r="H41" i="27"/>
  <c r="F41" i="27"/>
  <c r="E41" i="27"/>
  <c r="D41" i="27"/>
  <c r="C41" i="27"/>
  <c r="G40" i="27"/>
  <c r="G39" i="27"/>
  <c r="I37" i="27"/>
  <c r="I36" i="27" s="1"/>
  <c r="H37" i="27"/>
  <c r="H36" i="27" s="1"/>
  <c r="G37" i="27"/>
  <c r="G36" i="27" s="1"/>
  <c r="F37" i="27"/>
  <c r="E37" i="27"/>
  <c r="D37" i="27"/>
  <c r="D36" i="27" s="1"/>
  <c r="C37" i="27"/>
  <c r="C36" i="27" s="1"/>
  <c r="F36" i="27"/>
  <c r="E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I22" i="27"/>
  <c r="I21" i="27" s="1"/>
  <c r="I44" i="27" s="1"/>
  <c r="I45" i="27" s="1"/>
  <c r="H22" i="27"/>
  <c r="H21" i="27" s="1"/>
  <c r="H44" i="27" s="1"/>
  <c r="H45" i="27" s="1"/>
  <c r="F22" i="27"/>
  <c r="E22" i="27"/>
  <c r="D22" i="27"/>
  <c r="D21" i="27" s="1"/>
  <c r="D44" i="27" s="1"/>
  <c r="D45" i="27" s="1"/>
  <c r="C22" i="27"/>
  <c r="C21" i="27" s="1"/>
  <c r="C44" i="27" s="1"/>
  <c r="C45" i="27" s="1"/>
  <c r="F21" i="27"/>
  <c r="F44" i="27" s="1"/>
  <c r="E21" i="27"/>
  <c r="E44" i="27" s="1"/>
  <c r="E45" i="27" s="1"/>
  <c r="A18" i="27"/>
  <c r="G17" i="27"/>
  <c r="G16" i="27"/>
  <c r="G15" i="27"/>
  <c r="G14" i="27"/>
  <c r="F12" i="27"/>
  <c r="E12" i="27"/>
  <c r="G12" i="27" s="1"/>
  <c r="D12" i="27"/>
  <c r="C12" i="27"/>
  <c r="G10" i="27"/>
  <c r="I9" i="27"/>
  <c r="H9" i="27"/>
  <c r="H8" i="27" s="1"/>
  <c r="H7" i="27" s="1"/>
  <c r="F9" i="27"/>
  <c r="F8" i="27" s="1"/>
  <c r="F7" i="27" s="1"/>
  <c r="E9" i="27"/>
  <c r="D9" i="27"/>
  <c r="D8" i="27" s="1"/>
  <c r="C9" i="27"/>
  <c r="C8" i="27" s="1"/>
  <c r="C7" i="27" s="1"/>
  <c r="I8" i="27"/>
  <c r="I7" i="27" s="1"/>
  <c r="E8" i="27"/>
  <c r="E7" i="27"/>
  <c r="E85" i="23" l="1"/>
  <c r="F15" i="23"/>
  <c r="E15" i="23"/>
  <c r="C85" i="23"/>
  <c r="F85" i="23" s="1"/>
  <c r="G8" i="27"/>
  <c r="G7" i="27"/>
  <c r="D7" i="27"/>
  <c r="G9" i="27"/>
  <c r="G22" i="27"/>
  <c r="G21" i="27" s="1"/>
  <c r="G44" i="27" s="1"/>
  <c r="G45" i="27" s="1"/>
  <c r="F45" i="27"/>
  <c r="E32" i="13"/>
  <c r="F31" i="13"/>
  <c r="E31" i="13"/>
  <c r="F30" i="13"/>
  <c r="E30" i="13"/>
  <c r="F29" i="13"/>
  <c r="E29" i="13"/>
  <c r="F28" i="13"/>
  <c r="E28" i="13"/>
  <c r="F27" i="13"/>
  <c r="E27" i="13"/>
  <c r="F22" i="13"/>
  <c r="E22" i="13"/>
  <c r="F21" i="13"/>
  <c r="E21" i="13"/>
  <c r="F18" i="13"/>
  <c r="E18" i="13"/>
  <c r="F17" i="13"/>
  <c r="E17" i="13"/>
  <c r="F16" i="13"/>
  <c r="E16" i="13"/>
  <c r="F15" i="13"/>
  <c r="E15" i="13"/>
  <c r="F14" i="13"/>
  <c r="E14" i="13"/>
  <c r="E13" i="13"/>
  <c r="G269" i="25"/>
  <c r="G267" i="25"/>
  <c r="G262" i="25"/>
  <c r="G254" i="25"/>
  <c r="G252" i="25"/>
  <c r="G244" i="25"/>
  <c r="G242" i="25"/>
  <c r="G233" i="25"/>
  <c r="G231" i="25"/>
  <c r="G229" i="25"/>
  <c r="G227" i="25"/>
  <c r="G225" i="25"/>
  <c r="G223" i="25"/>
  <c r="G221" i="25"/>
  <c r="G218" i="25"/>
  <c r="G235" i="25"/>
  <c r="F235" i="25"/>
  <c r="F234" i="25" s="1"/>
  <c r="G210" i="25"/>
  <c r="G204" i="25"/>
  <c r="G194" i="25"/>
  <c r="G184" i="25"/>
  <c r="G182" i="25"/>
  <c r="G176" i="25"/>
  <c r="G174" i="25"/>
  <c r="G172" i="25"/>
  <c r="G162" i="25"/>
  <c r="G160" i="25"/>
  <c r="G158" i="25"/>
  <c r="G156" i="25"/>
  <c r="G152" i="25"/>
  <c r="G144" i="25"/>
  <c r="G141" i="25"/>
  <c r="G137" i="25"/>
  <c r="G133" i="25"/>
  <c r="G131" i="25"/>
  <c r="G129" i="25"/>
  <c r="G127" i="25"/>
  <c r="G123" i="25"/>
  <c r="G118" i="25"/>
  <c r="G115" i="25"/>
  <c r="G113" i="25"/>
  <c r="G111" i="25"/>
  <c r="G108" i="25"/>
  <c r="G105" i="25"/>
  <c r="G101" i="25"/>
  <c r="G93" i="25"/>
  <c r="G90" i="25"/>
  <c r="G88" i="25"/>
  <c r="G86" i="25"/>
  <c r="G77" i="25"/>
  <c r="G75" i="25"/>
  <c r="G73" i="25"/>
  <c r="G71" i="25"/>
  <c r="G66" i="25"/>
  <c r="G65" i="25"/>
  <c r="G64" i="25"/>
  <c r="G58" i="25"/>
  <c r="G56" i="25"/>
  <c r="G43" i="25"/>
  <c r="G38" i="25"/>
  <c r="I16" i="26"/>
  <c r="I20" i="26"/>
  <c r="I22" i="26"/>
  <c r="I26" i="26"/>
  <c r="I31" i="26"/>
  <c r="I33" i="26"/>
  <c r="I35" i="26"/>
  <c r="I51" i="26"/>
  <c r="I81" i="26"/>
  <c r="I85" i="26"/>
  <c r="I87" i="26"/>
  <c r="I89" i="26"/>
  <c r="I91" i="26"/>
  <c r="I95" i="26"/>
  <c r="I99" i="26"/>
  <c r="I100" i="26"/>
  <c r="I104" i="26"/>
  <c r="I108" i="26"/>
  <c r="I110" i="26"/>
  <c r="I125" i="26"/>
  <c r="I135" i="26"/>
  <c r="I141" i="26"/>
  <c r="I143" i="26"/>
  <c r="I145" i="26"/>
  <c r="I148" i="26"/>
  <c r="I150" i="26"/>
  <c r="I152" i="26"/>
  <c r="I154" i="26"/>
  <c r="I156" i="26"/>
  <c r="I158" i="26"/>
  <c r="I165" i="26"/>
  <c r="I167" i="26"/>
  <c r="I174" i="26"/>
  <c r="I182" i="26"/>
  <c r="I186" i="26"/>
  <c r="I190" i="26"/>
  <c r="I192" i="26"/>
  <c r="I195" i="26"/>
  <c r="I197" i="26"/>
  <c r="I207" i="26"/>
  <c r="I211" i="26"/>
  <c r="I218" i="26"/>
  <c r="I220" i="26"/>
  <c r="I226" i="26"/>
  <c r="I227" i="26"/>
  <c r="I231" i="26"/>
  <c r="I234" i="26"/>
  <c r="I236" i="26"/>
  <c r="I240" i="26"/>
  <c r="I244" i="26"/>
  <c r="I246" i="26"/>
  <c r="I248" i="26"/>
  <c r="I255" i="26"/>
  <c r="I259" i="26"/>
  <c r="I262" i="26"/>
  <c r="I265" i="26"/>
  <c r="I267" i="26"/>
  <c r="I269" i="26"/>
  <c r="I272" i="26"/>
  <c r="I279" i="26"/>
  <c r="I281" i="26"/>
  <c r="I284" i="26"/>
  <c r="I287" i="26"/>
  <c r="I289" i="26"/>
  <c r="I294" i="26"/>
  <c r="G37" i="25"/>
  <c r="G55" i="25"/>
  <c r="G63" i="25"/>
  <c r="G72" i="25"/>
  <c r="G74" i="25"/>
  <c r="G76" i="25"/>
  <c r="G85" i="25"/>
  <c r="G84" i="25" s="1"/>
  <c r="G87" i="25"/>
  <c r="G89" i="25"/>
  <c r="G92" i="25"/>
  <c r="G91" i="25" s="1"/>
  <c r="G100" i="25"/>
  <c r="G104" i="25"/>
  <c r="G103" i="25" s="1"/>
  <c r="G107" i="25"/>
  <c r="G106" i="25" s="1"/>
  <c r="G110" i="25"/>
  <c r="G112" i="25"/>
  <c r="G114" i="25"/>
  <c r="G117" i="25"/>
  <c r="G116" i="25" s="1"/>
  <c r="G122" i="25"/>
  <c r="G121" i="25" s="1"/>
  <c r="G120" i="25" s="1"/>
  <c r="G126" i="25"/>
  <c r="G125" i="25" s="1"/>
  <c r="G128" i="25"/>
  <c r="G130" i="25"/>
  <c r="G132" i="25"/>
  <c r="G136" i="25"/>
  <c r="G135" i="25" s="1"/>
  <c r="G140" i="25"/>
  <c r="G139" i="25" s="1"/>
  <c r="G138" i="25" s="1"/>
  <c r="G145" i="25"/>
  <c r="G151" i="25"/>
  <c r="G155" i="25"/>
  <c r="G154" i="25" s="1"/>
  <c r="G153" i="25" s="1"/>
  <c r="G157" i="25"/>
  <c r="G159" i="25"/>
  <c r="G161" i="25"/>
  <c r="G171" i="25"/>
  <c r="G173" i="25"/>
  <c r="G181" i="25"/>
  <c r="G183" i="25"/>
  <c r="G193" i="25"/>
  <c r="G192" i="25" s="1"/>
  <c r="G203" i="25"/>
  <c r="G209" i="25"/>
  <c r="G212" i="25"/>
  <c r="G211" i="25" s="1"/>
  <c r="G214" i="25"/>
  <c r="G213" i="25" s="1"/>
  <c r="G217" i="25"/>
  <c r="G220" i="25"/>
  <c r="G222" i="25"/>
  <c r="G224" i="25"/>
  <c r="G226" i="25"/>
  <c r="G228" i="25"/>
  <c r="G230" i="25"/>
  <c r="G232" i="25"/>
  <c r="G241" i="25"/>
  <c r="G243" i="25"/>
  <c r="G251" i="25"/>
  <c r="G250" i="25" s="1"/>
  <c r="G249" i="25" s="1"/>
  <c r="G253" i="25"/>
  <c r="G258" i="25"/>
  <c r="G257" i="25" s="1"/>
  <c r="G256" i="25" s="1"/>
  <c r="G255" i="25" s="1"/>
  <c r="G261" i="25"/>
  <c r="G260" i="25" s="1"/>
  <c r="G264" i="25"/>
  <c r="G266" i="25"/>
  <c r="G268" i="25"/>
  <c r="H292" i="26"/>
  <c r="G247" i="25" s="1"/>
  <c r="G246" i="25" s="1"/>
  <c r="G245" i="25" s="1"/>
  <c r="H253" i="26"/>
  <c r="F25" i="13" s="1"/>
  <c r="H230" i="26"/>
  <c r="I230" i="26" s="1"/>
  <c r="H214" i="26"/>
  <c r="G52" i="25" s="1"/>
  <c r="G51" i="25" s="1"/>
  <c r="G50" i="25" s="1"/>
  <c r="H209" i="26"/>
  <c r="G36" i="25" s="1"/>
  <c r="H208" i="26"/>
  <c r="H206" i="26"/>
  <c r="G32" i="25" s="1"/>
  <c r="H202" i="26"/>
  <c r="G15" i="25" s="1"/>
  <c r="G14" i="25" s="1"/>
  <c r="G13" i="25" s="1"/>
  <c r="H176" i="26"/>
  <c r="I176" i="26" s="1"/>
  <c r="H175" i="26"/>
  <c r="H173" i="26"/>
  <c r="I173" i="26" s="1"/>
  <c r="H163" i="26"/>
  <c r="G240" i="25" s="1"/>
  <c r="H162" i="26"/>
  <c r="G239" i="25" s="1"/>
  <c r="H161" i="26"/>
  <c r="G238" i="25" s="1"/>
  <c r="H139" i="26"/>
  <c r="G208" i="25" s="1"/>
  <c r="G207" i="25" s="1"/>
  <c r="H137" i="26"/>
  <c r="I137" i="26" s="1"/>
  <c r="H133" i="26"/>
  <c r="I133" i="26" s="1"/>
  <c r="H130" i="26"/>
  <c r="G199" i="25" s="1"/>
  <c r="G198" i="25" s="1"/>
  <c r="G197" i="25" s="1"/>
  <c r="G196" i="25" s="1"/>
  <c r="H122" i="26"/>
  <c r="G216" i="25" s="1"/>
  <c r="G215" i="25" s="1"/>
  <c r="H116" i="26"/>
  <c r="I116" i="26" s="1"/>
  <c r="H114" i="26"/>
  <c r="G166" i="25" s="1"/>
  <c r="H113" i="26"/>
  <c r="G165" i="25" s="1"/>
  <c r="H112" i="26"/>
  <c r="I112" i="26" s="1"/>
  <c r="H75" i="26"/>
  <c r="I75" i="26" s="1"/>
  <c r="H72" i="26"/>
  <c r="G45" i="25" s="1"/>
  <c r="H71" i="26"/>
  <c r="I71" i="26" s="1"/>
  <c r="H66" i="26"/>
  <c r="G28" i="25" s="1"/>
  <c r="G27" i="25" s="1"/>
  <c r="G26" i="25" s="1"/>
  <c r="H63" i="26"/>
  <c r="G25" i="25" s="1"/>
  <c r="G24" i="25" s="1"/>
  <c r="G23" i="25" s="1"/>
  <c r="H60" i="26"/>
  <c r="I60" i="26" s="1"/>
  <c r="H59" i="26"/>
  <c r="I59" i="26" s="1"/>
  <c r="H58" i="26"/>
  <c r="G20" i="25" s="1"/>
  <c r="I114" i="26" l="1"/>
  <c r="I66" i="26"/>
  <c r="I58" i="26"/>
  <c r="G46" i="25"/>
  <c r="G70" i="25"/>
  <c r="G69" i="25" s="1"/>
  <c r="G168" i="25"/>
  <c r="G167" i="25" s="1"/>
  <c r="G206" i="25"/>
  <c r="G205" i="25" s="1"/>
  <c r="I206" i="26"/>
  <c r="I202" i="26"/>
  <c r="I161" i="26"/>
  <c r="I139" i="26"/>
  <c r="I130" i="26"/>
  <c r="G22" i="25"/>
  <c r="G42" i="25"/>
  <c r="G41" i="25" s="1"/>
  <c r="G164" i="25"/>
  <c r="G163" i="25" s="1"/>
  <c r="H235" i="25"/>
  <c r="G49" i="25"/>
  <c r="G48" i="25" s="1"/>
  <c r="G47" i="25" s="1"/>
  <c r="F32" i="13"/>
  <c r="I292" i="26"/>
  <c r="I209" i="26"/>
  <c r="I72" i="26"/>
  <c r="G21" i="25"/>
  <c r="G19" i="25" s="1"/>
  <c r="G18" i="25" s="1"/>
  <c r="G17" i="25" s="1"/>
  <c r="G16" i="25" s="1"/>
  <c r="G35" i="25"/>
  <c r="G33" i="25" s="1"/>
  <c r="G31" i="25" s="1"/>
  <c r="G30" i="25" s="1"/>
  <c r="G29" i="25" s="1"/>
  <c r="G99" i="25"/>
  <c r="G98" i="25" s="1"/>
  <c r="G202" i="25"/>
  <c r="G201" i="25" s="1"/>
  <c r="G200" i="25" s="1"/>
  <c r="I163" i="26"/>
  <c r="I63" i="26"/>
  <c r="G234" i="25"/>
  <c r="H234" i="25" s="1"/>
  <c r="G263" i="25"/>
  <c r="G237" i="25"/>
  <c r="G248" i="25"/>
  <c r="G236" i="25"/>
  <c r="G109" i="25"/>
  <c r="G102" i="25" s="1"/>
  <c r="G62" i="25"/>
  <c r="G61" i="25" s="1"/>
  <c r="G60" i="25" s="1"/>
  <c r="G44" i="25"/>
  <c r="G265" i="25"/>
  <c r="G143" i="25"/>
  <c r="G142" i="25" s="1"/>
  <c r="G124" i="25"/>
  <c r="G67" i="25"/>
  <c r="G134" i="25"/>
  <c r="G68" i="25"/>
  <c r="H48" i="26"/>
  <c r="H47" i="26"/>
  <c r="H45" i="26"/>
  <c r="H42" i="26"/>
  <c r="H40" i="26"/>
  <c r="H39" i="26"/>
  <c r="H38" i="26"/>
  <c r="H28" i="26"/>
  <c r="H24" i="26"/>
  <c r="H15" i="26"/>
  <c r="H19" i="26"/>
  <c r="H21" i="26"/>
  <c r="H23" i="26"/>
  <c r="H25" i="26"/>
  <c r="H27" i="26"/>
  <c r="H30" i="26"/>
  <c r="H32" i="26"/>
  <c r="H34" i="26"/>
  <c r="H41" i="26"/>
  <c r="H46" i="26"/>
  <c r="H50" i="26"/>
  <c r="H57" i="26"/>
  <c r="H62" i="26"/>
  <c r="H65" i="26"/>
  <c r="H70" i="26"/>
  <c r="H74" i="26"/>
  <c r="H80" i="26"/>
  <c r="H84" i="26"/>
  <c r="H86" i="26"/>
  <c r="H88" i="26"/>
  <c r="H90" i="26"/>
  <c r="H94" i="26"/>
  <c r="H98" i="26"/>
  <c r="H103" i="26"/>
  <c r="H107" i="26"/>
  <c r="H109" i="26"/>
  <c r="H111" i="26"/>
  <c r="H115" i="26"/>
  <c r="H121" i="26"/>
  <c r="H124" i="26"/>
  <c r="H129" i="26"/>
  <c r="H132" i="26"/>
  <c r="H134" i="26"/>
  <c r="H136" i="26"/>
  <c r="H138" i="26"/>
  <c r="H140" i="26"/>
  <c r="H142" i="26"/>
  <c r="H144" i="26"/>
  <c r="H147" i="26"/>
  <c r="H149" i="26"/>
  <c r="H151" i="26"/>
  <c r="H153" i="26"/>
  <c r="H155" i="26"/>
  <c r="H157" i="26"/>
  <c r="H160" i="26"/>
  <c r="H164" i="26"/>
  <c r="H166" i="26"/>
  <c r="H172" i="26"/>
  <c r="H181" i="26"/>
  <c r="H184" i="26"/>
  <c r="H185" i="26"/>
  <c r="H189" i="26"/>
  <c r="H191" i="26"/>
  <c r="H194" i="26"/>
  <c r="H196" i="26"/>
  <c r="H201" i="26"/>
  <c r="H204" i="26"/>
  <c r="H205" i="26"/>
  <c r="H210" i="26"/>
  <c r="H213" i="26"/>
  <c r="H217" i="26"/>
  <c r="H221" i="26"/>
  <c r="H225" i="26"/>
  <c r="H229" i="26"/>
  <c r="H233" i="26"/>
  <c r="H235" i="26"/>
  <c r="H237" i="26"/>
  <c r="H239" i="26"/>
  <c r="H243" i="26"/>
  <c r="H245" i="26"/>
  <c r="H247" i="26"/>
  <c r="H251" i="26"/>
  <c r="H252" i="26"/>
  <c r="H254" i="26"/>
  <c r="H258" i="26"/>
  <c r="H261" i="26"/>
  <c r="H264" i="26"/>
  <c r="H266" i="26"/>
  <c r="H268" i="26"/>
  <c r="H271" i="26"/>
  <c r="H275" i="26"/>
  <c r="H276" i="26"/>
  <c r="H278" i="26"/>
  <c r="H280" i="26"/>
  <c r="H283" i="26"/>
  <c r="H286" i="26"/>
  <c r="H288" i="26"/>
  <c r="H291" i="26"/>
  <c r="H293" i="26"/>
  <c r="F269" i="25"/>
  <c r="F267" i="25"/>
  <c r="F264" i="25"/>
  <c r="F263" i="25" s="1"/>
  <c r="F262" i="25"/>
  <c r="F258" i="25"/>
  <c r="F257" i="25" s="1"/>
  <c r="F256" i="25" s="1"/>
  <c r="F255" i="25" s="1"/>
  <c r="H255" i="25" s="1"/>
  <c r="F254" i="25"/>
  <c r="F252" i="25"/>
  <c r="F247" i="25"/>
  <c r="F244" i="25"/>
  <c r="F242" i="25"/>
  <c r="F240" i="25"/>
  <c r="H240" i="25" s="1"/>
  <c r="F239" i="25"/>
  <c r="H239" i="25" s="1"/>
  <c r="F238" i="25"/>
  <c r="H238" i="25" s="1"/>
  <c r="F233" i="25"/>
  <c r="F231" i="25"/>
  <c r="F229" i="25"/>
  <c r="F227" i="25"/>
  <c r="F225" i="25"/>
  <c r="F223" i="25"/>
  <c r="F221" i="25"/>
  <c r="F218" i="25"/>
  <c r="F216" i="25"/>
  <c r="F214" i="25"/>
  <c r="F213" i="25" s="1"/>
  <c r="H213" i="25" s="1"/>
  <c r="F212" i="25"/>
  <c r="F211" i="25" s="1"/>
  <c r="H211" i="25" s="1"/>
  <c r="F210" i="25"/>
  <c r="F208" i="25"/>
  <c r="F206" i="25"/>
  <c r="F204" i="25"/>
  <c r="F202" i="25"/>
  <c r="F199" i="25"/>
  <c r="F194" i="25"/>
  <c r="F191" i="25"/>
  <c r="F189" i="25"/>
  <c r="F188" i="25"/>
  <c r="F187" i="25"/>
  <c r="F184" i="25"/>
  <c r="F182" i="25"/>
  <c r="F180" i="25"/>
  <c r="F177" i="25"/>
  <c r="F176" i="25"/>
  <c r="H176" i="25" s="1"/>
  <c r="F174" i="25"/>
  <c r="F172" i="25"/>
  <c r="F168" i="25"/>
  <c r="F166" i="25"/>
  <c r="H166" i="25" s="1"/>
  <c r="F165" i="25"/>
  <c r="H165" i="25" s="1"/>
  <c r="F164" i="25"/>
  <c r="H164" i="25" s="1"/>
  <c r="F162" i="25"/>
  <c r="F160" i="25"/>
  <c r="F158" i="25"/>
  <c r="F156" i="25"/>
  <c r="F152" i="25"/>
  <c r="F150" i="25"/>
  <c r="F149" i="25"/>
  <c r="F146" i="25"/>
  <c r="H146" i="25" s="1"/>
  <c r="F145" i="25"/>
  <c r="H145" i="25" s="1"/>
  <c r="F141" i="25"/>
  <c r="F137" i="25"/>
  <c r="F133" i="25"/>
  <c r="F131" i="25"/>
  <c r="F129" i="25"/>
  <c r="F127" i="25"/>
  <c r="F123" i="25"/>
  <c r="F118" i="25"/>
  <c r="F115" i="25"/>
  <c r="F113" i="25"/>
  <c r="F111" i="25"/>
  <c r="F108" i="25"/>
  <c r="F105" i="25"/>
  <c r="F101" i="25"/>
  <c r="F99" i="25"/>
  <c r="F97" i="25"/>
  <c r="F93" i="25"/>
  <c r="F90" i="25"/>
  <c r="F88" i="25"/>
  <c r="F86" i="25"/>
  <c r="F83" i="25"/>
  <c r="F82" i="25"/>
  <c r="F80" i="25"/>
  <c r="F77" i="25"/>
  <c r="F75" i="25"/>
  <c r="F73" i="25"/>
  <c r="F71" i="25"/>
  <c r="H71" i="25" s="1"/>
  <c r="F70" i="25"/>
  <c r="H70" i="25" s="1"/>
  <c r="F66" i="25"/>
  <c r="H66" i="25" s="1"/>
  <c r="F65" i="25"/>
  <c r="H65" i="25" s="1"/>
  <c r="F64" i="25"/>
  <c r="H64" i="25" s="1"/>
  <c r="F59" i="25"/>
  <c r="F58" i="25"/>
  <c r="H58" i="25" s="1"/>
  <c r="F56" i="25"/>
  <c r="F52" i="25"/>
  <c r="F49" i="25"/>
  <c r="F46" i="25"/>
  <c r="H46" i="25" s="1"/>
  <c r="F45" i="25"/>
  <c r="H45" i="25" s="1"/>
  <c r="F43" i="25"/>
  <c r="H43" i="25" s="1"/>
  <c r="F42" i="25"/>
  <c r="F38" i="25"/>
  <c r="F36" i="25"/>
  <c r="H36" i="25" s="1"/>
  <c r="F35" i="25"/>
  <c r="H35" i="25" s="1"/>
  <c r="F34" i="25"/>
  <c r="H34" i="25" s="1"/>
  <c r="F32" i="25"/>
  <c r="H32" i="25" s="1"/>
  <c r="F28" i="25"/>
  <c r="F25" i="25"/>
  <c r="F22" i="25"/>
  <c r="H22" i="25" s="1"/>
  <c r="F21" i="25"/>
  <c r="H21" i="25" s="1"/>
  <c r="F20" i="25"/>
  <c r="H20" i="25" s="1"/>
  <c r="F15" i="25"/>
  <c r="G293" i="26"/>
  <c r="G291" i="26"/>
  <c r="G290" i="26" s="1"/>
  <c r="G288" i="26"/>
  <c r="G286" i="26"/>
  <c r="G285" i="26" s="1"/>
  <c r="G283" i="26"/>
  <c r="G282" i="26"/>
  <c r="G280" i="26"/>
  <c r="G278" i="26"/>
  <c r="G277" i="26" s="1"/>
  <c r="G276" i="26"/>
  <c r="G275" i="26"/>
  <c r="G274" i="26" s="1"/>
  <c r="G271" i="26"/>
  <c r="G270" i="26" s="1"/>
  <c r="G268" i="26"/>
  <c r="G266" i="26"/>
  <c r="G264" i="26"/>
  <c r="G263" i="26" s="1"/>
  <c r="G261" i="26"/>
  <c r="G260" i="26"/>
  <c r="G258" i="26"/>
  <c r="G257" i="26" s="1"/>
  <c r="G254" i="26"/>
  <c r="G253" i="26"/>
  <c r="I253" i="26" s="1"/>
  <c r="G251" i="26"/>
  <c r="E26" i="13" s="1"/>
  <c r="G250" i="26"/>
  <c r="G247" i="26"/>
  <c r="G245" i="26"/>
  <c r="G243" i="26"/>
  <c r="G242" i="26" s="1"/>
  <c r="G239" i="26"/>
  <c r="G238" i="26"/>
  <c r="G235" i="26"/>
  <c r="G233" i="26"/>
  <c r="G232" i="26"/>
  <c r="G229" i="26"/>
  <c r="G225" i="26"/>
  <c r="G224" i="26"/>
  <c r="G223" i="26" s="1"/>
  <c r="G222" i="26" s="1"/>
  <c r="G221" i="26"/>
  <c r="G219" i="26"/>
  <c r="G217" i="26"/>
  <c r="G214" i="26"/>
  <c r="G213" i="26" s="1"/>
  <c r="G212" i="26" s="1"/>
  <c r="G210" i="26"/>
  <c r="G208" i="26"/>
  <c r="G204" i="26" s="1"/>
  <c r="G203" i="26" s="1"/>
  <c r="G205" i="26"/>
  <c r="G201" i="26"/>
  <c r="G200" i="26" s="1"/>
  <c r="G196" i="26"/>
  <c r="G194" i="26"/>
  <c r="G193" i="26" s="1"/>
  <c r="G191" i="26"/>
  <c r="G189" i="26"/>
  <c r="G188" i="26" s="1"/>
  <c r="G185" i="26"/>
  <c r="G184" i="26" s="1"/>
  <c r="G183" i="26" s="1"/>
  <c r="G181" i="26"/>
  <c r="G180" i="26" s="1"/>
  <c r="G179" i="26" s="1"/>
  <c r="G178" i="26" s="1"/>
  <c r="G177" i="26" s="1"/>
  <c r="G175" i="26"/>
  <c r="I175" i="26" s="1"/>
  <c r="G172" i="26"/>
  <c r="G171" i="26" s="1"/>
  <c r="G170" i="26" s="1"/>
  <c r="G169" i="26" s="1"/>
  <c r="G166" i="26"/>
  <c r="G164" i="26"/>
  <c r="G162" i="26"/>
  <c r="G160" i="26" s="1"/>
  <c r="G157" i="26"/>
  <c r="G155" i="26"/>
  <c r="G153" i="26"/>
  <c r="G151" i="26"/>
  <c r="G149" i="26"/>
  <c r="G147" i="26"/>
  <c r="G146" i="26" s="1"/>
  <c r="G144" i="26"/>
  <c r="G142" i="26"/>
  <c r="G140" i="26"/>
  <c r="G138" i="26"/>
  <c r="G136" i="26"/>
  <c r="G134" i="26"/>
  <c r="G132" i="26"/>
  <c r="G129" i="26"/>
  <c r="G128" i="26" s="1"/>
  <c r="G127" i="26" s="1"/>
  <c r="G124" i="26"/>
  <c r="G123" i="26" s="1"/>
  <c r="G122" i="26"/>
  <c r="I122" i="26" s="1"/>
  <c r="G121" i="26"/>
  <c r="G120" i="26" s="1"/>
  <c r="G119" i="26" s="1"/>
  <c r="G118" i="26" s="1"/>
  <c r="G117" i="26" s="1"/>
  <c r="G115" i="26"/>
  <c r="G113" i="26"/>
  <c r="G111" i="26" s="1"/>
  <c r="G109" i="26"/>
  <c r="G107" i="26"/>
  <c r="G106" i="26" s="1"/>
  <c r="G105" i="26" s="1"/>
  <c r="G102" i="26" s="1"/>
  <c r="G103" i="26"/>
  <c r="G101" i="26" s="1"/>
  <c r="G98" i="26"/>
  <c r="G97" i="26"/>
  <c r="G96" i="26" s="1"/>
  <c r="G94" i="26"/>
  <c r="G93" i="26" s="1"/>
  <c r="G92" i="26" s="1"/>
  <c r="G90" i="26"/>
  <c r="G88" i="26"/>
  <c r="G86" i="26"/>
  <c r="G84" i="26"/>
  <c r="G83" i="26" s="1"/>
  <c r="G80" i="26"/>
  <c r="G79" i="26" s="1"/>
  <c r="G78" i="26" s="1"/>
  <c r="G74" i="26"/>
  <c r="G73" i="26" s="1"/>
  <c r="G70" i="26"/>
  <c r="G65" i="26"/>
  <c r="G64" i="26" s="1"/>
  <c r="G62" i="26"/>
  <c r="G61" i="26" s="1"/>
  <c r="G57" i="26"/>
  <c r="G56" i="26"/>
  <c r="G50" i="26"/>
  <c r="G49" i="26" s="1"/>
  <c r="G47" i="26"/>
  <c r="G46" i="26" s="1"/>
  <c r="G44" i="26" s="1"/>
  <c r="G43" i="26" s="1"/>
  <c r="G41" i="26"/>
  <c r="G39" i="26"/>
  <c r="G37" i="26" s="1"/>
  <c r="G36" i="26" s="1"/>
  <c r="G34" i="26"/>
  <c r="G32" i="26"/>
  <c r="G30" i="26"/>
  <c r="G29" i="26" s="1"/>
  <c r="G27" i="26"/>
  <c r="G25" i="26"/>
  <c r="G23" i="26"/>
  <c r="G21" i="26"/>
  <c r="G19" i="26"/>
  <c r="G18" i="26" s="1"/>
  <c r="G17" i="26" s="1"/>
  <c r="G15" i="26"/>
  <c r="G14" i="26"/>
  <c r="G13" i="26" s="1"/>
  <c r="G237" i="26" l="1"/>
  <c r="I238" i="26"/>
  <c r="I293" i="26"/>
  <c r="H282" i="26"/>
  <c r="I282" i="26" s="1"/>
  <c r="I283" i="26"/>
  <c r="G150" i="25"/>
  <c r="H150" i="25" s="1"/>
  <c r="I276" i="26"/>
  <c r="I266" i="26"/>
  <c r="I254" i="26"/>
  <c r="I247" i="26"/>
  <c r="I237" i="26"/>
  <c r="I225" i="26"/>
  <c r="I221" i="26"/>
  <c r="H219" i="26"/>
  <c r="I219" i="26" s="1"/>
  <c r="G59" i="25"/>
  <c r="G57" i="25" s="1"/>
  <c r="G54" i="25" s="1"/>
  <c r="G53" i="25" s="1"/>
  <c r="I205" i="26"/>
  <c r="I194" i="26"/>
  <c r="H159" i="26"/>
  <c r="I166" i="26"/>
  <c r="I155" i="26"/>
  <c r="I147" i="26"/>
  <c r="I138" i="26"/>
  <c r="H128" i="26"/>
  <c r="I129" i="26"/>
  <c r="I115" i="26"/>
  <c r="I103" i="26"/>
  <c r="H93" i="26"/>
  <c r="I94" i="26"/>
  <c r="H83" i="26"/>
  <c r="I83" i="26" s="1"/>
  <c r="I84" i="26"/>
  <c r="I70" i="26"/>
  <c r="H56" i="26"/>
  <c r="I56" i="26" s="1"/>
  <c r="I57" i="26"/>
  <c r="I34" i="26"/>
  <c r="I27" i="26"/>
  <c r="I19" i="26"/>
  <c r="G187" i="25"/>
  <c r="G186" i="25" s="1"/>
  <c r="I38" i="26"/>
  <c r="G80" i="25"/>
  <c r="I45" i="26"/>
  <c r="I162" i="26"/>
  <c r="G131" i="26"/>
  <c r="G187" i="26"/>
  <c r="H59" i="25"/>
  <c r="H177" i="25"/>
  <c r="H290" i="26"/>
  <c r="I290" i="26" s="1"/>
  <c r="I291" i="26"/>
  <c r="I280" i="26"/>
  <c r="H274" i="26"/>
  <c r="I274" i="26" s="1"/>
  <c r="I275" i="26"/>
  <c r="G149" i="25"/>
  <c r="G148" i="25" s="1"/>
  <c r="G147" i="25" s="1"/>
  <c r="I264" i="26"/>
  <c r="I245" i="26"/>
  <c r="I235" i="26"/>
  <c r="H224" i="26"/>
  <c r="H216" i="26"/>
  <c r="I217" i="26"/>
  <c r="H203" i="26"/>
  <c r="I203" i="26" s="1"/>
  <c r="I204" i="26"/>
  <c r="I191" i="26"/>
  <c r="H180" i="26"/>
  <c r="I181" i="26"/>
  <c r="I164" i="26"/>
  <c r="I153" i="26"/>
  <c r="I144" i="26"/>
  <c r="I136" i="26"/>
  <c r="H123" i="26"/>
  <c r="I123" i="26" s="1"/>
  <c r="I124" i="26"/>
  <c r="I111" i="26"/>
  <c r="I98" i="26"/>
  <c r="I90" i="26"/>
  <c r="H79" i="26"/>
  <c r="I80" i="26"/>
  <c r="H64" i="26"/>
  <c r="I64" i="26" s="1"/>
  <c r="I65" i="26"/>
  <c r="H49" i="26"/>
  <c r="I49" i="26" s="1"/>
  <c r="I50" i="26"/>
  <c r="I32" i="26"/>
  <c r="I25" i="26"/>
  <c r="H14" i="26"/>
  <c r="I15" i="26"/>
  <c r="I39" i="26"/>
  <c r="G188" i="25"/>
  <c r="G82" i="25"/>
  <c r="I47" i="26"/>
  <c r="I214" i="26"/>
  <c r="I208" i="26"/>
  <c r="G55" i="26"/>
  <c r="G54" i="26" s="1"/>
  <c r="G82" i="26"/>
  <c r="G69" i="26"/>
  <c r="G68" i="26" s="1"/>
  <c r="G67" i="26" s="1"/>
  <c r="G159" i="26"/>
  <c r="H80" i="25"/>
  <c r="H188" i="25"/>
  <c r="I288" i="26"/>
  <c r="I278" i="26"/>
  <c r="H270" i="26"/>
  <c r="I270" i="26" s="1"/>
  <c r="I271" i="26"/>
  <c r="H260" i="26"/>
  <c r="I260" i="26" s="1"/>
  <c r="I261" i="26"/>
  <c r="I251" i="26"/>
  <c r="F26" i="13"/>
  <c r="G97" i="25"/>
  <c r="G96" i="25" s="1"/>
  <c r="G95" i="25" s="1"/>
  <c r="G94" i="25" s="1"/>
  <c r="I243" i="26"/>
  <c r="I233" i="26"/>
  <c r="H212" i="26"/>
  <c r="I212" i="26" s="1"/>
  <c r="I213" i="26"/>
  <c r="H200" i="26"/>
  <c r="I200" i="26" s="1"/>
  <c r="I201" i="26"/>
  <c r="H188" i="26"/>
  <c r="I188" i="26" s="1"/>
  <c r="I189" i="26"/>
  <c r="I172" i="26"/>
  <c r="I160" i="26"/>
  <c r="I151" i="26"/>
  <c r="I134" i="26"/>
  <c r="I121" i="26"/>
  <c r="I109" i="26"/>
  <c r="H97" i="26"/>
  <c r="I88" i="26"/>
  <c r="I74" i="26"/>
  <c r="I62" i="26"/>
  <c r="H44" i="26"/>
  <c r="I44" i="26" s="1"/>
  <c r="G81" i="25"/>
  <c r="I46" i="26"/>
  <c r="I30" i="26"/>
  <c r="I23" i="26"/>
  <c r="I24" i="26"/>
  <c r="G180" i="25"/>
  <c r="G179" i="25" s="1"/>
  <c r="G178" i="25" s="1"/>
  <c r="I40" i="26"/>
  <c r="G189" i="25"/>
  <c r="G83" i="25"/>
  <c r="H83" i="25" s="1"/>
  <c r="I48" i="26"/>
  <c r="G216" i="26"/>
  <c r="G252" i="26"/>
  <c r="I252" i="26" s="1"/>
  <c r="E25" i="13"/>
  <c r="E11" i="13" s="1"/>
  <c r="H82" i="25"/>
  <c r="H149" i="25"/>
  <c r="H189" i="25"/>
  <c r="H285" i="26"/>
  <c r="I285" i="26" s="1"/>
  <c r="I286" i="26"/>
  <c r="H277" i="26"/>
  <c r="I277" i="26" s="1"/>
  <c r="I268" i="26"/>
  <c r="H257" i="26"/>
  <c r="I257" i="26" s="1"/>
  <c r="I258" i="26"/>
  <c r="H250" i="26"/>
  <c r="I250" i="26" s="1"/>
  <c r="I239" i="26"/>
  <c r="I229" i="26"/>
  <c r="I210" i="26"/>
  <c r="I196" i="26"/>
  <c r="H171" i="26"/>
  <c r="I157" i="26"/>
  <c r="I149" i="26"/>
  <c r="I140" i="26"/>
  <c r="I132" i="26"/>
  <c r="H120" i="26"/>
  <c r="H106" i="26"/>
  <c r="I107" i="26"/>
  <c r="I86" i="26"/>
  <c r="H73" i="26"/>
  <c r="I73" i="26" s="1"/>
  <c r="H61" i="26"/>
  <c r="I61" i="26" s="1"/>
  <c r="I41" i="26"/>
  <c r="H29" i="26"/>
  <c r="I29" i="26" s="1"/>
  <c r="I21" i="26"/>
  <c r="F13" i="13"/>
  <c r="I28" i="26"/>
  <c r="G177" i="25"/>
  <c r="G175" i="25" s="1"/>
  <c r="G170" i="25" s="1"/>
  <c r="G191" i="25"/>
  <c r="G190" i="25" s="1"/>
  <c r="I42" i="26"/>
  <c r="G219" i="25"/>
  <c r="I113" i="26"/>
  <c r="G228" i="26"/>
  <c r="H183" i="26"/>
  <c r="I183" i="26" s="1"/>
  <c r="I184" i="26"/>
  <c r="I185" i="26"/>
  <c r="G126" i="26"/>
  <c r="I142" i="26"/>
  <c r="G40" i="25"/>
  <c r="G39" i="25" s="1"/>
  <c r="G12" i="25" s="1"/>
  <c r="H256" i="25"/>
  <c r="H258" i="25"/>
  <c r="H263" i="25"/>
  <c r="F114" i="25"/>
  <c r="H114" i="25" s="1"/>
  <c r="H115" i="25"/>
  <c r="F140" i="25"/>
  <c r="H141" i="25"/>
  <c r="F190" i="25"/>
  <c r="F228" i="25"/>
  <c r="H228" i="25" s="1"/>
  <c r="H229" i="25"/>
  <c r="F37" i="25"/>
  <c r="H37" i="25" s="1"/>
  <c r="H38" i="25"/>
  <c r="F92" i="25"/>
  <c r="H93" i="25"/>
  <c r="F159" i="25"/>
  <c r="H159" i="25" s="1"/>
  <c r="H160" i="25"/>
  <c r="F183" i="25"/>
  <c r="H183" i="25" s="1"/>
  <c r="H184" i="25"/>
  <c r="F203" i="25"/>
  <c r="H203" i="25" s="1"/>
  <c r="H204" i="25"/>
  <c r="F220" i="25"/>
  <c r="H220" i="25" s="1"/>
  <c r="H221" i="25"/>
  <c r="F246" i="25"/>
  <c r="H247" i="25"/>
  <c r="F41" i="25"/>
  <c r="H41" i="25" s="1"/>
  <c r="H42" i="25"/>
  <c r="F76" i="25"/>
  <c r="H76" i="25" s="1"/>
  <c r="H77" i="25"/>
  <c r="F96" i="25"/>
  <c r="H96" i="25" s="1"/>
  <c r="F117" i="25"/>
  <c r="H118" i="25"/>
  <c r="F161" i="25"/>
  <c r="H161" i="25" s="1"/>
  <c r="H162" i="25"/>
  <c r="F167" i="25"/>
  <c r="H167" i="25" s="1"/>
  <c r="H168" i="25"/>
  <c r="F193" i="25"/>
  <c r="H194" i="25"/>
  <c r="F222" i="25"/>
  <c r="H223" i="25"/>
  <c r="F230" i="25"/>
  <c r="H230" i="25" s="1"/>
  <c r="H231" i="25"/>
  <c r="F251" i="25"/>
  <c r="H252" i="25"/>
  <c r="F14" i="25"/>
  <c r="H15" i="25"/>
  <c r="F24" i="25"/>
  <c r="H25" i="25"/>
  <c r="F51" i="25"/>
  <c r="H52" i="25"/>
  <c r="F87" i="25"/>
  <c r="H87" i="25" s="1"/>
  <c r="H88" i="25"/>
  <c r="F98" i="25"/>
  <c r="H98" i="25" s="1"/>
  <c r="H99" i="25"/>
  <c r="F110" i="25"/>
  <c r="H110" i="25" s="1"/>
  <c r="H111" i="25"/>
  <c r="F122" i="25"/>
  <c r="H123" i="25"/>
  <c r="F132" i="25"/>
  <c r="H132" i="25" s="1"/>
  <c r="H133" i="25"/>
  <c r="F155" i="25"/>
  <c r="H156" i="25"/>
  <c r="F171" i="25"/>
  <c r="H171" i="25" s="1"/>
  <c r="H172" i="25"/>
  <c r="F179" i="25"/>
  <c r="H180" i="25"/>
  <c r="F198" i="25"/>
  <c r="H199" i="25"/>
  <c r="F207" i="25"/>
  <c r="H207" i="25" s="1"/>
  <c r="H208" i="25"/>
  <c r="F215" i="25"/>
  <c r="H215" i="25" s="1"/>
  <c r="H216" i="25"/>
  <c r="F224" i="25"/>
  <c r="H224" i="25" s="1"/>
  <c r="H225" i="25"/>
  <c r="F232" i="25"/>
  <c r="H232" i="25" s="1"/>
  <c r="H233" i="25"/>
  <c r="F241" i="25"/>
  <c r="H241" i="25" s="1"/>
  <c r="H242" i="25"/>
  <c r="F253" i="25"/>
  <c r="H253" i="25" s="1"/>
  <c r="H254" i="25"/>
  <c r="F266" i="25"/>
  <c r="H266" i="25" s="1"/>
  <c r="H267" i="25"/>
  <c r="H257" i="25"/>
  <c r="F74" i="25"/>
  <c r="H74" i="25" s="1"/>
  <c r="H75" i="25"/>
  <c r="F104" i="25"/>
  <c r="H105" i="25"/>
  <c r="F128" i="25"/>
  <c r="H128" i="25" s="1"/>
  <c r="H129" i="25"/>
  <c r="F261" i="25"/>
  <c r="H262" i="25"/>
  <c r="F48" i="25"/>
  <c r="H49" i="25"/>
  <c r="F85" i="25"/>
  <c r="H86" i="25"/>
  <c r="F107" i="25"/>
  <c r="H108" i="25"/>
  <c r="F130" i="25"/>
  <c r="H130" i="25" s="1"/>
  <c r="H131" i="25"/>
  <c r="F151" i="25"/>
  <c r="H151" i="25" s="1"/>
  <c r="H152" i="25"/>
  <c r="F205" i="25"/>
  <c r="H205" i="25" s="1"/>
  <c r="H206" i="25"/>
  <c r="F27" i="25"/>
  <c r="H28" i="25"/>
  <c r="F55" i="25"/>
  <c r="H55" i="25" s="1"/>
  <c r="H56" i="25"/>
  <c r="F72" i="25"/>
  <c r="H72" i="25" s="1"/>
  <c r="H73" i="25"/>
  <c r="F89" i="25"/>
  <c r="H89" i="25" s="1"/>
  <c r="H90" i="25"/>
  <c r="F100" i="25"/>
  <c r="H100" i="25" s="1"/>
  <c r="H101" i="25"/>
  <c r="F112" i="25"/>
  <c r="H112" i="25" s="1"/>
  <c r="H113" i="25"/>
  <c r="F126" i="25"/>
  <c r="H127" i="25"/>
  <c r="F136" i="25"/>
  <c r="H137" i="25"/>
  <c r="F157" i="25"/>
  <c r="H157" i="25" s="1"/>
  <c r="H158" i="25"/>
  <c r="F173" i="25"/>
  <c r="H173" i="25" s="1"/>
  <c r="H174" i="25"/>
  <c r="F181" i="25"/>
  <c r="H181" i="25" s="1"/>
  <c r="H182" i="25"/>
  <c r="F201" i="25"/>
  <c r="H202" i="25"/>
  <c r="F209" i="25"/>
  <c r="H209" i="25" s="1"/>
  <c r="H210" i="25"/>
  <c r="F217" i="25"/>
  <c r="H217" i="25" s="1"/>
  <c r="H218" i="25"/>
  <c r="F226" i="25"/>
  <c r="H226" i="25" s="1"/>
  <c r="H227" i="25"/>
  <c r="F243" i="25"/>
  <c r="H243" i="25" s="1"/>
  <c r="H244" i="25"/>
  <c r="F268" i="25"/>
  <c r="H268" i="25" s="1"/>
  <c r="H269" i="25"/>
  <c r="G259" i="25"/>
  <c r="H212" i="25"/>
  <c r="H214" i="25"/>
  <c r="H264" i="25"/>
  <c r="G195" i="25"/>
  <c r="G119" i="25"/>
  <c r="H273" i="26"/>
  <c r="H263" i="26"/>
  <c r="I263" i="26" s="1"/>
  <c r="H242" i="26"/>
  <c r="I242" i="26" s="1"/>
  <c r="H232" i="26"/>
  <c r="H193" i="26"/>
  <c r="I193" i="26" s="1"/>
  <c r="H146" i="26"/>
  <c r="I146" i="26" s="1"/>
  <c r="H131" i="26"/>
  <c r="I131" i="26" s="1"/>
  <c r="H82" i="26"/>
  <c r="I82" i="26" s="1"/>
  <c r="H43" i="26"/>
  <c r="I43" i="26" s="1"/>
  <c r="H37" i="26"/>
  <c r="H18" i="26"/>
  <c r="I18" i="26" s="1"/>
  <c r="H256" i="26"/>
  <c r="I256" i="26" s="1"/>
  <c r="F57" i="25"/>
  <c r="F237" i="25"/>
  <c r="F69" i="25"/>
  <c r="H69" i="25" s="1"/>
  <c r="F19" i="25"/>
  <c r="F148" i="25"/>
  <c r="H148" i="25" s="1"/>
  <c r="F33" i="25"/>
  <c r="F163" i="25"/>
  <c r="H163" i="25" s="1"/>
  <c r="F175" i="25"/>
  <c r="H175" i="25" s="1"/>
  <c r="F144" i="25"/>
  <c r="F81" i="25"/>
  <c r="F44" i="25"/>
  <c r="F186" i="25"/>
  <c r="F63" i="25"/>
  <c r="G12" i="26"/>
  <c r="G11" i="26" s="1"/>
  <c r="G77" i="26"/>
  <c r="G76" i="26" s="1"/>
  <c r="G215" i="26"/>
  <c r="G199" i="26" s="1"/>
  <c r="G273" i="26"/>
  <c r="G168" i="26"/>
  <c r="G249" i="26"/>
  <c r="G241" i="26" s="1"/>
  <c r="G256" i="26"/>
  <c r="H69" i="26" l="1"/>
  <c r="H187" i="26"/>
  <c r="I187" i="26" s="1"/>
  <c r="H97" i="25"/>
  <c r="H105" i="26"/>
  <c r="I106" i="26"/>
  <c r="I224" i="26"/>
  <c r="H223" i="26"/>
  <c r="H249" i="26"/>
  <c r="H187" i="25"/>
  <c r="I159" i="26"/>
  <c r="I273" i="26"/>
  <c r="H119" i="26"/>
  <c r="I120" i="26"/>
  <c r="G185" i="25"/>
  <c r="G169" i="25" s="1"/>
  <c r="H55" i="26"/>
  <c r="H36" i="26"/>
  <c r="I36" i="26" s="1"/>
  <c r="I37" i="26"/>
  <c r="H191" i="25"/>
  <c r="H170" i="26"/>
  <c r="I171" i="26"/>
  <c r="I97" i="26"/>
  <c r="H96" i="26"/>
  <c r="I96" i="26" s="1"/>
  <c r="H179" i="26"/>
  <c r="I180" i="26"/>
  <c r="H190" i="25"/>
  <c r="G53" i="26"/>
  <c r="G52" i="26" s="1"/>
  <c r="H13" i="26"/>
  <c r="I13" i="26" s="1"/>
  <c r="I14" i="26"/>
  <c r="H78" i="26"/>
  <c r="I78" i="26" s="1"/>
  <c r="I79" i="26"/>
  <c r="H215" i="26"/>
  <c r="I215" i="26" s="1"/>
  <c r="I216" i="26"/>
  <c r="G79" i="25"/>
  <c r="G78" i="25" s="1"/>
  <c r="H92" i="26"/>
  <c r="I92" i="26" s="1"/>
  <c r="I93" i="26"/>
  <c r="H127" i="26"/>
  <c r="I127" i="26" s="1"/>
  <c r="I128" i="26"/>
  <c r="H228" i="26"/>
  <c r="I228" i="26" s="1"/>
  <c r="I232" i="26"/>
  <c r="F68" i="25"/>
  <c r="H68" i="25" s="1"/>
  <c r="F265" i="25"/>
  <c r="H265" i="25" s="1"/>
  <c r="F109" i="25"/>
  <c r="F79" i="25"/>
  <c r="H81" i="25"/>
  <c r="F245" i="25"/>
  <c r="H245" i="25" s="1"/>
  <c r="H246" i="25"/>
  <c r="F67" i="25"/>
  <c r="H67" i="25" s="1"/>
  <c r="F31" i="25"/>
  <c r="H33" i="25"/>
  <c r="F106" i="25"/>
  <c r="H106" i="25" s="1"/>
  <c r="H107" i="25"/>
  <c r="F47" i="25"/>
  <c r="H47" i="25" s="1"/>
  <c r="H48" i="25"/>
  <c r="F178" i="25"/>
  <c r="H179" i="25"/>
  <c r="F154" i="25"/>
  <c r="H155" i="25"/>
  <c r="F121" i="25"/>
  <c r="H122" i="25"/>
  <c r="F50" i="25"/>
  <c r="H50" i="25" s="1"/>
  <c r="H51" i="25"/>
  <c r="F13" i="25"/>
  <c r="H13" i="25" s="1"/>
  <c r="H14" i="25"/>
  <c r="F260" i="25"/>
  <c r="H261" i="25"/>
  <c r="F62" i="25"/>
  <c r="H63" i="25"/>
  <c r="F143" i="25"/>
  <c r="H144" i="25"/>
  <c r="F236" i="25"/>
  <c r="H236" i="25" s="1"/>
  <c r="H237" i="25"/>
  <c r="F192" i="25"/>
  <c r="H192" i="25" s="1"/>
  <c r="H193" i="25"/>
  <c r="F91" i="25"/>
  <c r="H91" i="25" s="1"/>
  <c r="H92" i="25"/>
  <c r="F139" i="25"/>
  <c r="H140" i="25"/>
  <c r="F116" i="25"/>
  <c r="H116" i="25" s="1"/>
  <c r="H117" i="25"/>
  <c r="H109" i="25"/>
  <c r="F125" i="25"/>
  <c r="H126" i="25"/>
  <c r="F26" i="25"/>
  <c r="H26" i="25" s="1"/>
  <c r="H27" i="25"/>
  <c r="F185" i="25"/>
  <c r="H185" i="25" s="1"/>
  <c r="H186" i="25"/>
  <c r="F40" i="25"/>
  <c r="H44" i="25"/>
  <c r="F95" i="25"/>
  <c r="F54" i="25"/>
  <c r="H57" i="25"/>
  <c r="H201" i="25"/>
  <c r="F200" i="25"/>
  <c r="H200" i="25" s="1"/>
  <c r="F135" i="25"/>
  <c r="H136" i="25"/>
  <c r="F84" i="25"/>
  <c r="H84" i="25" s="1"/>
  <c r="H85" i="25"/>
  <c r="F197" i="25"/>
  <c r="H198" i="25"/>
  <c r="F23" i="25"/>
  <c r="H23" i="25" s="1"/>
  <c r="H24" i="25"/>
  <c r="F18" i="25"/>
  <c r="H19" i="25"/>
  <c r="F103" i="25"/>
  <c r="H103" i="25" s="1"/>
  <c r="H104" i="25"/>
  <c r="F250" i="25"/>
  <c r="H251" i="25"/>
  <c r="F219" i="25"/>
  <c r="H219" i="25" s="1"/>
  <c r="H222" i="25"/>
  <c r="G11" i="25"/>
  <c r="H126" i="26"/>
  <c r="I126" i="26" s="1"/>
  <c r="H17" i="26"/>
  <c r="G198" i="26"/>
  <c r="H118" i="26" l="1"/>
  <c r="I119" i="26"/>
  <c r="I249" i="26"/>
  <c r="H241" i="26"/>
  <c r="I241" i="26" s="1"/>
  <c r="I105" i="26"/>
  <c r="H102" i="26"/>
  <c r="I102" i="26" s="1"/>
  <c r="H101" i="26"/>
  <c r="H12" i="26"/>
  <c r="I17" i="26"/>
  <c r="H178" i="26"/>
  <c r="I179" i="26"/>
  <c r="H169" i="26"/>
  <c r="I170" i="26"/>
  <c r="H54" i="26"/>
  <c r="I55" i="26"/>
  <c r="I223" i="26"/>
  <c r="H222" i="26"/>
  <c r="I222" i="26" s="1"/>
  <c r="H199" i="26"/>
  <c r="H68" i="26"/>
  <c r="I69" i="26"/>
  <c r="F102" i="25"/>
  <c r="H102" i="25" s="1"/>
  <c r="F61" i="25"/>
  <c r="H62" i="25"/>
  <c r="F120" i="25"/>
  <c r="H120" i="25" s="1"/>
  <c r="H121" i="25"/>
  <c r="H178" i="25"/>
  <c r="F170" i="25"/>
  <c r="F196" i="25"/>
  <c r="H197" i="25"/>
  <c r="F39" i="25"/>
  <c r="H39" i="25" s="1"/>
  <c r="H40" i="25"/>
  <c r="F138" i="25"/>
  <c r="H138" i="25" s="1"/>
  <c r="H139" i="25"/>
  <c r="F249" i="25"/>
  <c r="H250" i="25"/>
  <c r="F17" i="25"/>
  <c r="H18" i="25"/>
  <c r="F142" i="25"/>
  <c r="H142" i="25" s="1"/>
  <c r="H143" i="25"/>
  <c r="H260" i="25"/>
  <c r="F259" i="25"/>
  <c r="H259" i="25" s="1"/>
  <c r="F153" i="25"/>
  <c r="H154" i="25"/>
  <c r="F30" i="25"/>
  <c r="H31" i="25"/>
  <c r="H135" i="25"/>
  <c r="F53" i="25"/>
  <c r="H53" i="25" s="1"/>
  <c r="H54" i="25"/>
  <c r="F94" i="25"/>
  <c r="H94" i="25" s="1"/>
  <c r="H95" i="25"/>
  <c r="H125" i="25"/>
  <c r="F124" i="25"/>
  <c r="H124" i="25" s="1"/>
  <c r="F78" i="25"/>
  <c r="H78" i="25" s="1"/>
  <c r="H79" i="25"/>
  <c r="G10" i="26"/>
  <c r="I169" i="26" l="1"/>
  <c r="H168" i="26"/>
  <c r="I168" i="26" s="1"/>
  <c r="H11" i="26"/>
  <c r="I12" i="26"/>
  <c r="H67" i="26"/>
  <c r="I67" i="26" s="1"/>
  <c r="I68" i="26"/>
  <c r="I101" i="26"/>
  <c r="H77" i="26"/>
  <c r="I199" i="26"/>
  <c r="H198" i="26"/>
  <c r="I198" i="26" s="1"/>
  <c r="H53" i="26"/>
  <c r="I54" i="26"/>
  <c r="H177" i="26"/>
  <c r="I177" i="26" s="1"/>
  <c r="I178" i="26"/>
  <c r="H117" i="26"/>
  <c r="I117" i="26" s="1"/>
  <c r="I118" i="26"/>
  <c r="F134" i="25"/>
  <c r="H134" i="25" s="1"/>
  <c r="F29" i="25"/>
  <c r="H29" i="25" s="1"/>
  <c r="H30" i="25"/>
  <c r="F16" i="25"/>
  <c r="H17" i="25"/>
  <c r="H196" i="25"/>
  <c r="F195" i="25"/>
  <c r="H195" i="25" s="1"/>
  <c r="H170" i="25"/>
  <c r="F169" i="25"/>
  <c r="H169" i="25" s="1"/>
  <c r="H153" i="25"/>
  <c r="F147" i="25"/>
  <c r="H249" i="25"/>
  <c r="F248" i="25"/>
  <c r="H248" i="25" s="1"/>
  <c r="F60" i="25"/>
  <c r="H60" i="25" s="1"/>
  <c r="H61" i="25"/>
  <c r="N21" i="13"/>
  <c r="H76" i="26" l="1"/>
  <c r="I76" i="26" s="1"/>
  <c r="I77" i="26"/>
  <c r="H52" i="26"/>
  <c r="I52" i="26" s="1"/>
  <c r="I53" i="26"/>
  <c r="I11" i="26"/>
  <c r="H16" i="25"/>
  <c r="F12" i="25"/>
  <c r="F119" i="25"/>
  <c r="H119" i="25" s="1"/>
  <c r="H147" i="25"/>
  <c r="H10" i="26" l="1"/>
  <c r="I10" i="26" s="1"/>
  <c r="H12" i="25"/>
  <c r="F11" i="25"/>
  <c r="H11" i="25" s="1"/>
  <c r="G11" i="17" l="1"/>
  <c r="G12" i="17"/>
  <c r="G13" i="17"/>
  <c r="G14" i="17"/>
  <c r="G15" i="17"/>
  <c r="G10" i="17"/>
  <c r="E16" i="17"/>
  <c r="G9" i="18"/>
  <c r="G10" i="18"/>
  <c r="G11" i="18"/>
  <c r="G12" i="18"/>
  <c r="G13" i="18"/>
  <c r="G8" i="18"/>
  <c r="E14" i="18"/>
  <c r="F9" i="19" l="1"/>
  <c r="F10" i="19"/>
  <c r="F11" i="19"/>
  <c r="F12" i="19"/>
  <c r="F13" i="19"/>
  <c r="F8" i="19"/>
  <c r="D14" i="19"/>
  <c r="E14" i="19"/>
  <c r="F11" i="13" l="1"/>
  <c r="N30" i="13"/>
  <c r="N27" i="13"/>
  <c r="N24" i="13"/>
  <c r="N20" i="13"/>
  <c r="N19" i="13"/>
  <c r="N15" i="13"/>
  <c r="N14" i="13"/>
  <c r="C14" i="19" l="1"/>
  <c r="F14" i="19" s="1"/>
  <c r="C14" i="18"/>
  <c r="G14" i="18" s="1"/>
  <c r="C16" i="17"/>
  <c r="G16" i="17" s="1"/>
  <c r="N25" i="13" l="1"/>
  <c r="N28" i="13"/>
  <c r="N32" i="13" l="1"/>
  <c r="N13" i="13"/>
  <c r="N26" i="13" l="1"/>
  <c r="N23" i="13"/>
  <c r="N16" i="13" l="1"/>
  <c r="N17" i="13"/>
  <c r="N18" i="13"/>
  <c r="N29" i="13" l="1"/>
  <c r="N22" i="13"/>
  <c r="N31" i="13"/>
  <c r="N12" i="13"/>
  <c r="N11" i="13" l="1"/>
  <c r="F41" i="23"/>
  <c r="F47" i="23"/>
  <c r="F40" i="23"/>
  <c r="F30" i="23"/>
  <c r="F72" i="23"/>
  <c r="F78" i="23"/>
  <c r="F31" i="23"/>
  <c r="D31" i="23"/>
  <c r="E31" i="23"/>
  <c r="E47" i="23"/>
  <c r="D47" i="23"/>
  <c r="E72" i="23"/>
  <c r="D72" i="23"/>
  <c r="E78" i="23"/>
  <c r="D78" i="23"/>
  <c r="F48" i="23"/>
  <c r="E41" i="23"/>
  <c r="D41" i="23"/>
  <c r="F43" i="23"/>
  <c r="F29" i="23"/>
  <c r="D29" i="23"/>
  <c r="E29" i="23"/>
  <c r="E81" i="23"/>
  <c r="D81" i="23"/>
  <c r="F81" i="23"/>
  <c r="E42" i="23"/>
  <c r="D42" i="23"/>
  <c r="F42" i="23"/>
  <c r="E43" i="23"/>
  <c r="D43" i="23"/>
  <c r="E48" i="23"/>
  <c r="D48" i="23"/>
  <c r="E40" i="23"/>
  <c r="D40" i="23"/>
  <c r="E30" i="23"/>
  <c r="D30" i="23"/>
</calcChain>
</file>

<file path=xl/sharedStrings.xml><?xml version="1.0" encoding="utf-8"?>
<sst xmlns="http://schemas.openxmlformats.org/spreadsheetml/2006/main" count="2939" uniqueCount="879">
  <si>
    <t>(тыс.рублей)</t>
  </si>
  <si>
    <t>Наименование</t>
  </si>
  <si>
    <t>РЗ</t>
  </si>
  <si>
    <t>ПР</t>
  </si>
  <si>
    <t>ЦСР</t>
  </si>
  <si>
    <t>ВР</t>
  </si>
  <si>
    <t xml:space="preserve">  </t>
  </si>
  <si>
    <t xml:space="preserve">         </t>
  </si>
  <si>
    <t xml:space="preserve">   </t>
  </si>
  <si>
    <t>ОБРАЗОВАНИЕ</t>
  </si>
  <si>
    <t>07</t>
  </si>
  <si>
    <t>Общее образование</t>
  </si>
  <si>
    <t>02</t>
  </si>
  <si>
    <t>Предоставление субсидий бюджетным, автономным учреждениям и иным некоммерческим организациям</t>
  </si>
  <si>
    <t>600</t>
  </si>
  <si>
    <t>Закупка товаров, работ и услуг для государственных (муниципальных) нужд</t>
  </si>
  <si>
    <t>200</t>
  </si>
  <si>
    <t>Межбюджетные трансферты</t>
  </si>
  <si>
    <t>500</t>
  </si>
  <si>
    <t>04</t>
  </si>
  <si>
    <t>Обеспечение деятельности отдельных государственных органов Республики Тыва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</si>
  <si>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</si>
  <si>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</si>
  <si>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</t>
  </si>
  <si>
    <t>Иные бюджетные ассигнования</t>
  </si>
  <si>
    <t>800</t>
  </si>
  <si>
    <t>КУЛЬТУРА, КИНЕМАТОГРАФИЯ</t>
  </si>
  <si>
    <t>08</t>
  </si>
  <si>
    <t>Культура</t>
  </si>
  <si>
    <t>Другие вопросы в области культуры, кинематографии</t>
  </si>
  <si>
    <t>12</t>
  </si>
  <si>
    <t>Развитие общего образования в сфере культуры и искусства</t>
  </si>
  <si>
    <t>СРЕДСТВА МАССОВОЙ ИНФОРМАЦИИ</t>
  </si>
  <si>
    <t>Периодическая печать и издательства</t>
  </si>
  <si>
    <t>058</t>
  </si>
  <si>
    <t>УПРАВЛЕНИЕ КУЛЬТУРЫ</t>
  </si>
  <si>
    <t>ППП</t>
  </si>
  <si>
    <t>Хурал представителей Сут-Хольского кожууна Республики Тыва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</si>
  <si>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</si>
  <si>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</si>
  <si>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</si>
  <si>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Управление сельского хозяйства администрации муниципального района Сут-Хольский кожуун РТ</t>
  </si>
  <si>
    <t>Сельское хозяйство и рыболовство</t>
  </si>
  <si>
    <t>Молодежная политика и оздоровление детей</t>
  </si>
  <si>
    <t>Другие вопросы в области образования</t>
  </si>
  <si>
    <t>Охрана семьи и детства</t>
  </si>
  <si>
    <t>Доплаты к пенсиям муниципальных служащих</t>
  </si>
  <si>
    <t>Социальное обеспечение населения</t>
  </si>
  <si>
    <t>Выплата на обеспечение равной доступности услуг общественного транспорта для отдельных категорий граждан</t>
  </si>
  <si>
    <t>Предоставление гражданам субсидий на оплату жилого помещения и коммунальных услуг</t>
  </si>
  <si>
    <t>Мобилизационная и вневойсковая подготовка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</si>
  <si>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</si>
  <si>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</si>
  <si>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Прочие межбюджетные трансферты общего характера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</si>
  <si>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</si>
  <si>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</si>
  <si>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</si>
  <si>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</si>
  <si>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01 3 00 00590</t>
  </si>
  <si>
    <t>01 3 00 00000</t>
  </si>
  <si>
    <t>03 1 00 00590</t>
  </si>
  <si>
    <t>03 1 00 00000</t>
  </si>
  <si>
    <t>03 2 00 00590</t>
  </si>
  <si>
    <t>В С Е Г О</t>
  </si>
  <si>
    <t xml:space="preserve">             </t>
  </si>
  <si>
    <t>СОЦИАЛЬНАЯ ПОЛИТИКА</t>
  </si>
  <si>
    <t>Закупка товаров, работ и услуг для обеспечения государственных (муниципальных) нужд</t>
  </si>
  <si>
    <t>10 3 01 76070</t>
  </si>
  <si>
    <t>10 3 06 53800</t>
  </si>
  <si>
    <t>Социальное обеспечение и иные выплаты населению</t>
  </si>
  <si>
    <t>89 0 00 00000</t>
  </si>
  <si>
    <t>89 0 00 00110</t>
  </si>
  <si>
    <t>89 0 00 00190</t>
  </si>
  <si>
    <t>ОБЩЕГОСУДАРСТВЕННЫЕ ВОПРОСЫ</t>
  </si>
  <si>
    <t>99 0 00 00000</t>
  </si>
  <si>
    <t>НАЦИОНАЛЬНАЯ ЭКОНОМИКА</t>
  </si>
  <si>
    <t>МЕЖБЮДЖЕТНЫЕ ТРАНСФЕРТЫ ОБЩЕГО ХАРАКТЕРА БЮДЖЕТАМ БЮДЖЕТНОЙ СИСТЕМЫ РОССИЙСКОЙ ФЕДЕРАЦИИ</t>
  </si>
  <si>
    <t>97 0 00 00000</t>
  </si>
  <si>
    <t>НАЦИОНАЛЬНАЯ БЕЗОПАСНОСТЬ И ПРАВООХРАНИТЕЛЬНАЯ ДЕЯТЕЛЬНОСТЬ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</si>
  <si>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</si>
  <si>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97 0 00 76050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</si>
  <si>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</si>
  <si>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97 0 00 76130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</si>
  <si>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</si>
  <si>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</si>
  <si>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Оплата жилищно-коммунальных услуг отдельным категориям граждан</t>
  </si>
  <si>
    <t>Учреждения по внешкольной работе с детьми</t>
  </si>
  <si>
    <t>97 0 00 76100</t>
  </si>
  <si>
    <t>Подпрограмма "Отдых и оздоровление детей"</t>
  </si>
  <si>
    <t>07 6 06 75040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</si>
  <si>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</si>
  <si>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Подпрограмма "Безопасность образовательных учреждений"</t>
  </si>
  <si>
    <t>Мероприятия по безопасности образовательных учреждений</t>
  </si>
  <si>
    <t>Непрограммное направление в области образования</t>
  </si>
  <si>
    <t>87 0 00 00000</t>
  </si>
  <si>
    <t>Льготы специалистам села ЖКУ</t>
  </si>
  <si>
    <t>24 1 02 76110</t>
  </si>
  <si>
    <t>10</t>
  </si>
  <si>
    <t>03</t>
  </si>
  <si>
    <t>300</t>
  </si>
  <si>
    <t>06</t>
  </si>
  <si>
    <t>13</t>
  </si>
  <si>
    <t>09</t>
  </si>
  <si>
    <t>05</t>
  </si>
  <si>
    <t>14</t>
  </si>
  <si>
    <t>11</t>
  </si>
  <si>
    <t>13 1 02 70010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</si>
  <si>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</si>
  <si>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078</t>
  </si>
  <si>
    <t>Аппарат Хурала представителей</t>
  </si>
  <si>
    <t xml:space="preserve">Секретарь Хурала муниципального образования </t>
  </si>
  <si>
    <t>Контрольно - Счетная палата Сут-Хольского кожууна</t>
  </si>
  <si>
    <t xml:space="preserve">Аппарат Контрольно- Счетной палаты муниципального образования </t>
  </si>
  <si>
    <t>Председатель Контольно-Счетной палаты</t>
  </si>
  <si>
    <t>09 1 00 75600</t>
  </si>
  <si>
    <t>09 1 00 00000</t>
  </si>
  <si>
    <t xml:space="preserve">Аппарат управления культуры </t>
  </si>
  <si>
    <t xml:space="preserve">Цетрализованная бухгалтерия управления культуры </t>
  </si>
  <si>
    <t>Аппарат управления сельского хозяйства</t>
  </si>
  <si>
    <t xml:space="preserve">Обеспечение деятельности отдельных государственных органов </t>
  </si>
  <si>
    <t>00 0 00 00000</t>
  </si>
  <si>
    <t>79 6 00 00110</t>
  </si>
  <si>
    <t>79 7 00 00000</t>
  </si>
  <si>
    <t>79 7 00 00110</t>
  </si>
  <si>
    <t>79 8 00 001100</t>
  </si>
  <si>
    <t>79 8 00 00000</t>
  </si>
  <si>
    <t xml:space="preserve">Дошкольное образование </t>
  </si>
  <si>
    <t>Муниципальная целевая программа "Развитие образования в Сут-Хольском кожууне 2014 до 2020 года"</t>
  </si>
  <si>
    <t>01 1 00 00590</t>
  </si>
  <si>
    <t>01 2 00 00590</t>
  </si>
  <si>
    <t>3. Подпрограмма "Развитие дополнительного образования"</t>
  </si>
  <si>
    <t>2. Подпрограмма "Развитие общего образования"</t>
  </si>
  <si>
    <t>1. Подпрограмма "Развитие дошкольного образования"</t>
  </si>
  <si>
    <t>03 1 00 45200</t>
  </si>
  <si>
    <t>01 5 00 00590</t>
  </si>
  <si>
    <t xml:space="preserve">Управление труда, социальной политики администрации </t>
  </si>
  <si>
    <t xml:space="preserve">Пенсионное обеспечение </t>
  </si>
  <si>
    <t>Обеспечение мер социальной поддержки ветеранов труда и труженников тыла</t>
  </si>
  <si>
    <t>Социальное обеспенчения населению</t>
  </si>
  <si>
    <t>Ежемесчное пособие на ребенка</t>
  </si>
  <si>
    <t xml:space="preserve">Пособие на погребение </t>
  </si>
  <si>
    <t>Другие  вопросы в области социальной политики</t>
  </si>
  <si>
    <t xml:space="preserve">Аппарат управления </t>
  </si>
  <si>
    <t xml:space="preserve">Аппарат управления образования </t>
  </si>
  <si>
    <t>Выплата 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</si>
  <si>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04 2 00 70190</t>
  </si>
  <si>
    <t>Обеспечение деятельности отдельных муниципальных органов</t>
  </si>
  <si>
    <t>Субвенция на запрет на алкогольную продукцию</t>
  </si>
  <si>
    <t>97 0 007660</t>
  </si>
  <si>
    <t>Администрация  Сут-Хольского кожууна Республики Тыва</t>
  </si>
  <si>
    <t xml:space="preserve">Финансовое управление администрации муниципального района </t>
  </si>
  <si>
    <t>Резервный фонд исполнительного органа муниципальной  власти Республики Тыва</t>
  </si>
  <si>
    <t xml:space="preserve">Глава муниципального образование </t>
  </si>
  <si>
    <t>78 5 00 00110</t>
  </si>
  <si>
    <t>09 1 00 70160</t>
  </si>
  <si>
    <t>89 0 00  00110</t>
  </si>
  <si>
    <t xml:space="preserve">Аппарат администрации кожууна </t>
  </si>
  <si>
    <t xml:space="preserve">Жилищно-коммунальное хозяйство </t>
  </si>
  <si>
    <t>Комиссия по делам несовершенолетних</t>
  </si>
  <si>
    <t>Дорожное хозяйство (дорожный фонд)</t>
  </si>
  <si>
    <t>СОЦИАЛЬНАЯ  ПОЛИТИКА</t>
  </si>
  <si>
    <t>Другие вопросы национальной экономики</t>
  </si>
  <si>
    <t>Внепрограммные мероприятия по обеспечению деятельности подведомственных учреждений культуры</t>
  </si>
  <si>
    <t xml:space="preserve">Муниципальная целевая программа </t>
  </si>
  <si>
    <t xml:space="preserve">Муниципальные целевые программы </t>
  </si>
  <si>
    <t xml:space="preserve">Здравоохоанение </t>
  </si>
  <si>
    <t xml:space="preserve">Образование </t>
  </si>
  <si>
    <t>Физкультура и спорт</t>
  </si>
  <si>
    <t>01 6 00 00590</t>
  </si>
  <si>
    <t>4. Подпрограмма "Отдых и оздоровление детей"</t>
  </si>
  <si>
    <t>03 3 00 00590</t>
  </si>
  <si>
    <t>04 2 00 00590</t>
  </si>
  <si>
    <t>01 6 00 00000</t>
  </si>
  <si>
    <t>05 1 00 00590</t>
  </si>
  <si>
    <t>06 1 00 00590</t>
  </si>
  <si>
    <t>06 2 00 00590</t>
  </si>
  <si>
    <t>06 3 00 00590</t>
  </si>
  <si>
    <t>06 4 00 00590</t>
  </si>
  <si>
    <t>06 6 00 00590</t>
  </si>
  <si>
    <t>06 7 00 00590</t>
  </si>
  <si>
    <t>06 8 00 00590</t>
  </si>
  <si>
    <t>Глава представительного органа муниципального образования</t>
  </si>
  <si>
    <t xml:space="preserve">Председатель муниципального образования </t>
  </si>
  <si>
    <t>97 0 0076600</t>
  </si>
  <si>
    <t>01 11 300590</t>
  </si>
  <si>
    <t>00 00 000000</t>
  </si>
  <si>
    <t>Программа "Совершенствование молодежной политики и развитие физической культуры и спорта Сут-Хольского кожууна на 2017-2019 годы"</t>
  </si>
  <si>
    <t>00</t>
  </si>
  <si>
    <t>3. Подпрограмма "Организация культурно-досугового обслуживания населения "</t>
  </si>
  <si>
    <t>2. Подпрограмма "Развитие библиотечного дела"</t>
  </si>
  <si>
    <t>Организационно-методического центра "</t>
  </si>
  <si>
    <t>Льготы на ЖКУ сельким специалистам - работникам культуры</t>
  </si>
  <si>
    <t>Программа "Развитие сельского хозяйства и регулирование рынков сельскохозяйственной продукции, сырья и продовольствия в Сут-Хольском кожууне на 2017 и на плановый период 2018-2019 годы"</t>
  </si>
  <si>
    <t>06 1 30 00590</t>
  </si>
  <si>
    <t>09 1 00 756000</t>
  </si>
  <si>
    <t>КУЛЬТУРА</t>
  </si>
  <si>
    <t>Программа "Обеспечение жильем молодых семей на 2015-2020 годы"</t>
  </si>
  <si>
    <t>ФП "Развитие образования" на 2013-2020гг. Создание общеобразовательных организациях, расположенных в сельской местности, условий для занятия физической культурой и спортом в рамках госпрограммы</t>
  </si>
  <si>
    <t>01 3 02 25097</t>
  </si>
  <si>
    <t>Судебная система</t>
  </si>
  <si>
    <t>Дополнительное образование детей</t>
  </si>
  <si>
    <t>Программа "Архтектура и градостроительство Сут-Хольского кожууна на 2017-2020гг."</t>
  </si>
  <si>
    <t>Подпрограмм "Доступная среда и реабилитация отдельных категорий граждан в кожууне на 2017-2019гг"</t>
  </si>
  <si>
    <t>1. Подпрограмма "Развитие детских школа искусств в Сут-Хольском кожууне на 2017-2019годы"</t>
  </si>
  <si>
    <t>4. Подпрограмма "Развитие туризма в Сут-Хольском кожууне РТ на 2017-2019 гг"</t>
  </si>
  <si>
    <t>6. Подпрограмма "Поддержка и развитие печатных средств массовой информации Сут-Хольского района на 2017-2019гг"</t>
  </si>
  <si>
    <t xml:space="preserve">Межбюджетные трансферты на долевое финансирование расходов на оплату коммунальных услуг (в отношении расходов по оплате электрической и тепловой энергии, водоснабжение), приобретение котельно-печного топлива для казенных, бюджетных и автономных учреждений (с учетом доставки услуг поставщика) </t>
  </si>
  <si>
    <t>Иные межбюджетные трансферты</t>
  </si>
  <si>
    <t>Программа "Развитие малого и среднего предпринимательства в Сут-Хольском кожууне на 2018г и на период до 2020 года"</t>
  </si>
  <si>
    <t>99 0 00 51180</t>
  </si>
  <si>
    <t>01 1 00 76060</t>
  </si>
  <si>
    <t>01 1 00 76120</t>
  </si>
  <si>
    <t>01 1 10 52500</t>
  </si>
  <si>
    <t>01 1 11 76030</t>
  </si>
  <si>
    <t>01 1 12 76040</t>
  </si>
  <si>
    <t>07 1 01 76090</t>
  </si>
  <si>
    <t>17 1 14 75050</t>
  </si>
  <si>
    <t>94 5 00 00000</t>
  </si>
  <si>
    <t>Ежемесячное пособие на ребенка</t>
  </si>
  <si>
    <t>13 1 02 70020</t>
  </si>
  <si>
    <t>тыс.руб</t>
  </si>
  <si>
    <t>№ п/п</t>
  </si>
  <si>
    <t>Наименование поселений</t>
  </si>
  <si>
    <t xml:space="preserve">сумма </t>
  </si>
  <si>
    <t>Сельское поселение сумон Алдан-Маадырский Сут-Хольского кожууна РТ</t>
  </si>
  <si>
    <t>Сельское поселение сумон Ак-Дашский Сут-Хольского кожууна РТ</t>
  </si>
  <si>
    <t>Сельское поселение сумон Бора-Тайгинский Сут-Хольского кожууна РТ</t>
  </si>
  <si>
    <t>Администрация сумона                                                        Кара-Чыраа Сут-Хольского кожууна РТ</t>
  </si>
  <si>
    <t>Сельское поселение сумон Кызыл-Тайгинский Сут-Хольского кожууна РТ</t>
  </si>
  <si>
    <t>Сельское поселение сумон Ишкин Сут-Хольского кожууна РТ</t>
  </si>
  <si>
    <t>ИТОГО</t>
  </si>
  <si>
    <t>Код по бюджетной классификации</t>
  </si>
  <si>
    <t>Наименование показателя</t>
  </si>
  <si>
    <t>000100 00000 00 0000 000</t>
  </si>
  <si>
    <t>НАЛОГОВЫЕ И НЕНАЛОГОВЫЕ ДОХОДЫ</t>
  </si>
  <si>
    <t>НАЛОГОВЫЕ ДОХОДЫ</t>
  </si>
  <si>
    <t>000 1 01 00000 00 0000 000</t>
  </si>
  <si>
    <t xml:space="preserve">НАЛОГИ НА ПРИБЫЛЬ, ДОХОДЫ                                                  </t>
  </si>
  <si>
    <t>000 1 01 02000 01 0000 110</t>
  </si>
  <si>
    <t>Налог на доходы физических лиц</t>
  </si>
  <si>
    <t>000 103 00000 00 0000 000</t>
  </si>
  <si>
    <t xml:space="preserve">НАЛОГИ НА ТОВАРЫ И УСЛУГИ(РАБОТЫ И УСЛУГИ)РЕАЛИЗУЕМЫЕ НА ТЕРРИТОРИИ РОССИЙСКОЙ ФЕДЕРАЦИИ </t>
  </si>
  <si>
    <t>000 103 02000 01 0000 110</t>
  </si>
  <si>
    <t xml:space="preserve">Акцизы по подакцизным товарам (продукции) производимым на территрии Российской Федерации </t>
  </si>
  <si>
    <t>000 1 05 00000 00 0000 000</t>
  </si>
  <si>
    <t>НАЛОГИ НА СОВОКУПНЫЙ ДОХОД</t>
  </si>
  <si>
    <t>000 105 04020  02 0000 110</t>
  </si>
  <si>
    <t xml:space="preserve">Налог, взимаемый  в связи с применением патентной   системы налогообложения,зачисляемый в бюджеты муниципальных районов </t>
  </si>
  <si>
    <t>000 1 05 02000 02 0000 110</t>
  </si>
  <si>
    <t>Единый налог на вмененный доход для отдельных видов деятельности</t>
  </si>
  <si>
    <t>000 1 05 03000 01 0000 110</t>
  </si>
  <si>
    <t xml:space="preserve">Единый сельскохозяйственный налог </t>
  </si>
  <si>
    <t>000 1 06 00000 00 0000 000</t>
  </si>
  <si>
    <t>НАЛОГИ НА ИМУЩЕСТВО</t>
  </si>
  <si>
    <t>000 1 06 02000 02 0000 110</t>
  </si>
  <si>
    <t>Налог на имущество организаций</t>
  </si>
  <si>
    <t>000 1 08 00000 00 0000 000</t>
  </si>
  <si>
    <t>ГОСУДАРСТВЕННАЯ ПОШЛИНА</t>
  </si>
  <si>
    <t>000 1 08 03010 01 0000 110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</si>
  <si>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</si>
  <si>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000 109 00000 00 0000 000</t>
  </si>
  <si>
    <t xml:space="preserve">ЗАДОЛЖЕННОСТЬ И ПЕРЕРАСЧЕТЫ ПО ОТМЕННЫМ НАЛОГАМ, СБОРАМ И ИНЫМ ОБЯЗАТЕЛЬНЫМ ПЛАТЕЖАМ </t>
  </si>
  <si>
    <t>НЕНАЛОГОВЫЕ ДОХОДЫ</t>
  </si>
  <si>
    <t>000 1 11 00000 00 0000 000</t>
  </si>
  <si>
    <t xml:space="preserve">ДОХОДЫ ОТ ИСПОЛЬЗОВАНИЯ ИМУЩЕСТВА, НАХОДЯЩЕГОСЯ В ГОСУДАРСТВЕННОЙ И МУНИЦИПАЛЬНОЙ СОБСТВЕННОСТИ </t>
  </si>
  <si>
    <t>000 111 05025 05 0000 120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</si>
  <si>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сосбтсвенности муниципальных районов в  ( за исключением земельных участков муниципальных бюджетных и  автономных учреждений) </t>
  </si>
  <si>
    <t xml:space="preserve">000 111 05035 05 0000 120 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</si>
  <si>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 автономных учреждений)</t>
  </si>
  <si>
    <t>000 1 11 09045 05 0000 120</t>
  </si>
  <si>
    <t>Прочие поступления от использовния имущества, находящегося в собственности муниципальных районов ( за исключением имущества муниципальных бюджетных и  автономных учреждений, а также имущества муниципальных унитрных предприятий, в том числе казенных)</t>
  </si>
  <si>
    <t>000 1 12 00000 00 0000 000</t>
  </si>
  <si>
    <t>ПЛАТЕЖИ ПРИ ПОЛЬЗОВАНИИ ПРИРОДНЫМИ РЕСУРСАМИ</t>
  </si>
  <si>
    <t xml:space="preserve">000 1 12 01000 01 0000 120 </t>
  </si>
  <si>
    <t>Плата за негативное воздействие на окружающую среду</t>
  </si>
  <si>
    <t>000 113 00000 00 0000 000</t>
  </si>
  <si>
    <t xml:space="preserve">ДОХОДЫ ОТ ОКАЗАНИЯ ПЛАТНЫХ УСЛУГ (РАБОТ) И КОМПЕНСАЦИИ ЗАТРАТ ГОСУДАРСТВА  </t>
  </si>
  <si>
    <t>000 113 02995 05 0000 130</t>
  </si>
  <si>
    <t>Прочие доходы от компенсации затрат бюджетов  муниципальных районов</t>
  </si>
  <si>
    <t>000 114 00000 00 0000 000</t>
  </si>
  <si>
    <t xml:space="preserve">ДОХОДЫ ОТ ПРОДАЖИ МАТЕРИАЛЬНЫХ И НЕМАТЕРИАЛЬНЫХ АКТИВОВ </t>
  </si>
  <si>
    <t>000 114 06025 05 0000 430</t>
  </si>
  <si>
    <t xml:space="preserve">Доходы от продажи  земельных участков находящихся в собственности муниципальных районов (за исключением земельных участков муниципальных бюджетных и автономных учреждений) </t>
  </si>
  <si>
    <t>000 116 00000 00 0000 000</t>
  </si>
  <si>
    <t xml:space="preserve">ШТРАФЫ, САНКЦИИ, ВОЗМЕЩЕНИЕ УЩЕРБА </t>
  </si>
  <si>
    <t>000 8 50 00000 00 0000 000</t>
  </si>
  <si>
    <t>Итого собственных доходов</t>
  </si>
  <si>
    <t>БЕЗВОЗМЕЗДНЫЕ ПОСТУПЛЕНИЯ</t>
  </si>
  <si>
    <t>Безвозмездные поступления</t>
  </si>
  <si>
    <t>Дотации бюджетам субъектов РФ муниципальных образований</t>
  </si>
  <si>
    <t>Субсидии бюджетам субъектов РФ и муниципальных образований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</si>
  <si>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энергии,водоснабжения),приобретение котельно-печного топливо казенных ,бюджетных и автномных учреждений (с учетом доставки)</t>
  </si>
  <si>
    <t>Субвенции бюджетам субъектов РФ и муниципальных образований</t>
  </si>
  <si>
    <t xml:space="preserve">Межбюджетные трансферты,передаваемые бюджетам муниципальных районов из бюджетов поселений на осушествление части полномочий по решению вопросов местного значения в соотвествии с заключенными договорами </t>
  </si>
  <si>
    <t>ВСЕГО ДОХОДЫ</t>
  </si>
  <si>
    <t>Приложение №3</t>
  </si>
  <si>
    <t>сумма</t>
  </si>
  <si>
    <t>Сельское поселение сумон Ишкинский Сут-Хольского кожууна РТ</t>
  </si>
  <si>
    <t>Заказчик</t>
  </si>
  <si>
    <t>Наименование программ</t>
  </si>
  <si>
    <t>КОД по бюджетной классификации</t>
  </si>
  <si>
    <t>Сумма</t>
  </si>
  <si>
    <t>2</t>
  </si>
  <si>
    <t>3</t>
  </si>
  <si>
    <t>4</t>
  </si>
  <si>
    <t xml:space="preserve">всего </t>
  </si>
  <si>
    <t xml:space="preserve">Управление культуры </t>
  </si>
  <si>
    <t>0801. 03 3 00 00590</t>
  </si>
  <si>
    <t>0801. 03 5 00 00590</t>
  </si>
  <si>
    <t xml:space="preserve">Управление сельского хозяйства </t>
  </si>
  <si>
    <t>0405.  04 1 00 00590</t>
  </si>
  <si>
    <t>Управление  образования администрации Сут-Хольского кожууна</t>
  </si>
  <si>
    <t>0707.  01 11 30 00590</t>
  </si>
  <si>
    <t xml:space="preserve">Подпрогамма "Патриотическое воспитание детей и молодежи в Сут-Хольском кожууне" </t>
  </si>
  <si>
    <t>0709. 01 5 00 00590</t>
  </si>
  <si>
    <t>0709. 01 6 00 00590</t>
  </si>
  <si>
    <t>0709. 01 7 00 00590</t>
  </si>
  <si>
    <t>0709. 01 110 00590</t>
  </si>
  <si>
    <t>Подпрограмма "Развитие организация питания дошкольных учреждений и воспитаников образовательных учреждений Сут-Хольского кожууна"</t>
  </si>
  <si>
    <t>0709. 01 12 00590</t>
  </si>
  <si>
    <t xml:space="preserve">Управление труда </t>
  </si>
  <si>
    <t>1006. 05 1 00 00590</t>
  </si>
  <si>
    <t>Администрация Сут-Хольского кожууна</t>
  </si>
  <si>
    <t>0309. 06 1 00 00590</t>
  </si>
  <si>
    <t>0309. 06 2 00 00590</t>
  </si>
  <si>
    <t>0405. 06 9 00 00590</t>
  </si>
  <si>
    <t>Программа "Обеспечение учета и оптимизация деятельности по управлению муниципальным имуществом в Сут-Хольском кожууне на 2018-2020гг."</t>
  </si>
  <si>
    <t>0412. 06 4 00 00590</t>
  </si>
  <si>
    <t>0412. 06 3 00 00590</t>
  </si>
  <si>
    <t>1204. 06 1 30 00590</t>
  </si>
  <si>
    <t>Программа "Архтектура и градостроительство Сут-Хольского кожууна на 2017-2020годы"</t>
  </si>
  <si>
    <t>0502. 06 6 00 00590</t>
  </si>
  <si>
    <t>0502. 06 1 10 00590</t>
  </si>
  <si>
    <t>0709 06 6 00 00590</t>
  </si>
  <si>
    <t>0909. 06 7 00 00590</t>
  </si>
  <si>
    <t>1101.  06 8 00 00590</t>
  </si>
  <si>
    <t>Приложение №7</t>
  </si>
  <si>
    <t>Сельское поселение администрации сумона                                                        Кара-Чыраанский  Сут-Хольского кожууна РТ</t>
  </si>
  <si>
    <t>% исп.</t>
  </si>
  <si>
    <t xml:space="preserve">Исполнено </t>
  </si>
  <si>
    <t>Исполнено</t>
  </si>
  <si>
    <t xml:space="preserve">Исполнение </t>
  </si>
  <si>
    <t>Приложение №11</t>
  </si>
  <si>
    <t>РБ</t>
  </si>
  <si>
    <t>МБ</t>
  </si>
  <si>
    <t>ПЛАН</t>
  </si>
  <si>
    <t>ФАКТ</t>
  </si>
  <si>
    <t>% ВЫП</t>
  </si>
  <si>
    <t>ОТК-ИЕ</t>
  </si>
  <si>
    <t>1</t>
  </si>
  <si>
    <t>000 106 01000 00 0000 110</t>
  </si>
  <si>
    <t>Налог на имущество физических лиц</t>
  </si>
  <si>
    <t>000 106 06000 00 0000 110</t>
  </si>
  <si>
    <t>Земельный налог</t>
  </si>
  <si>
    <t>000 106 06030 00 0000 110</t>
  </si>
  <si>
    <t>земельный налог с организаций</t>
  </si>
  <si>
    <t>000 106 06040 00 0000 110</t>
  </si>
  <si>
    <t xml:space="preserve">земельный налог с физических лиц </t>
  </si>
  <si>
    <t>000 108 04000 01 0000 110</t>
  </si>
  <si>
    <t>Государственная пошлина за совешение нотариальных действий(за исключением действий,совершаемых консульскими усреждениями Российской Федерации)</t>
  </si>
  <si>
    <t>000 111 05013 05 0000 120</t>
  </si>
  <si>
    <t xml:space="preserve">Доходы, получаемые в виде арендной платы за земельные участки,государственная собственность на которые не разграничена и котрые  расположены в границах межселенных территорий муниципальных районов ,  а также средства от продажи права на заключение договоров аренды указанных земельных учасктков  </t>
  </si>
  <si>
    <t>000 111 05013 10 0000 120</t>
  </si>
  <si>
    <t xml:space="preserve">Доходы, получаемые в виде арендной платы за земельные участки,государственная собственность на которые не разграничена и котрые не расположены в границах сельской послений,  а также средства от продажи права на заключение договоров аренды указанных земельных учасктков  </t>
  </si>
  <si>
    <t>000 111 05025 10 0000 120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</si>
  <si>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сосбтсвенности сельских поселений   ( за исключением земельных участков муниципальных бюджетных и  автономных учреждений) </t>
  </si>
  <si>
    <t>000 113 01995 05 0000 130</t>
  </si>
  <si>
    <t>Прочие доходы от оказания платных услуг (работ) получателями средств бюджетов сельских поселений</t>
  </si>
  <si>
    <t>000 117 00000 00 0000 180</t>
  </si>
  <si>
    <t>ПРОЧИЕ НЕНАЛОГОВЫЕ ДОХОДЫ (вт.ч)</t>
  </si>
  <si>
    <t>000 11714030 10 0000 180</t>
  </si>
  <si>
    <t xml:space="preserve"> Средства самообложения граждан зачисляемые в бюджеты сельских поселений </t>
  </si>
  <si>
    <t>000 200 0000 00 0000 0000</t>
  </si>
  <si>
    <t>000 2 02 00000 00 0000 000</t>
  </si>
  <si>
    <t>Дотации бюджетам на поддержку мер по обеспечению сбалансированности бюджетов</t>
  </si>
  <si>
    <t>ОБСЛУЖИВАНИЕ ГОСУДАРСТВЕННОГО И МУНИЦИПАЛЬНОГО ДОЛГА</t>
  </si>
  <si>
    <t>% вып</t>
  </si>
  <si>
    <t>план</t>
  </si>
  <si>
    <t>факт</t>
  </si>
  <si>
    <t>Приложение №1</t>
  </si>
  <si>
    <t>Приложение №4</t>
  </si>
  <si>
    <t>Приложение №5</t>
  </si>
  <si>
    <t>Приложение №8</t>
  </si>
  <si>
    <t>тыс.рублей.</t>
  </si>
  <si>
    <t>Наименование 
показателя</t>
  </si>
  <si>
    <t>Код строки</t>
  </si>
  <si>
    <t>Код источника финансирования по бюджетной классификации</t>
  </si>
  <si>
    <t>Утвержденные бюджетные назначения</t>
  </si>
  <si>
    <t>26</t>
  </si>
  <si>
    <t>Источники финансирования дефицита бюджетов - всего</t>
  </si>
  <si>
    <t>X</t>
  </si>
  <si>
    <t>Изменение остатков средств</t>
  </si>
  <si>
    <t>700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</si>
  <si>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</si>
  <si>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</si>
  <si>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</si>
  <si>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</si>
  <si>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710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</si>
  <si>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</si>
  <si>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</si>
  <si>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</si>
  <si>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</si>
  <si>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</si>
  <si>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</si>
  <si>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</si>
  <si>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муниципальных районов</t>
  </si>
  <si>
    <t>000 01 05 02 01 05 0000 510</t>
  </si>
  <si>
    <t>уменьшение остатков средств, всего</t>
  </si>
  <si>
    <t>720</t>
  </si>
  <si>
    <t>000 01 05 00 00 00 0000 600</t>
  </si>
  <si>
    <t>в том числе: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</si>
  <si>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</si>
  <si>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</si>
  <si>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</si>
  <si>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</si>
  <si>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</si>
  <si>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</si>
  <si>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</si>
  <si>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</si>
  <si>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бюджетных ассигнований на реализацию муниципальных целевых программ  на 2020 год                                                                                                                            </t>
  </si>
  <si>
    <t>Исполнение  дотации на выравнивание бюджетной обеспеченности на 2020 год</t>
  </si>
  <si>
    <t xml:space="preserve">Исполнение  субвенции на осуществление полномочий по первичному воинскому учету на территориях, где отсуствуют военные комиссариаты  на 2020 год                         </t>
  </si>
  <si>
    <t>Муниципальная прогамма "Развитие культуры и туризма на 2020-2022 годы</t>
  </si>
  <si>
    <t>4. Подпрограмма "Организационно-методического центра "</t>
  </si>
  <si>
    <t>5. Подпрограмма "Развитие туризма в Сут-Хольском кожууне РТ на 2017-2019 гг"</t>
  </si>
  <si>
    <t>88 2 00 76240</t>
  </si>
  <si>
    <t xml:space="preserve">Субсидии на поддержку творческой деятельности и укрепление материально-технической базы муниципальных театров </t>
  </si>
  <si>
    <t>08 5 01 R 4660</t>
  </si>
  <si>
    <t>Управление образование администрации муниципального района Сут-Хольский кожуун</t>
  </si>
  <si>
    <t>072 E2 50970</t>
  </si>
  <si>
    <t>Иные межбюджетные трансферты на ежемесячное денежное вознаграждение за классное руководство педагогическим работникам гос и мун общеоразовательных организаций на 2020 год</t>
  </si>
  <si>
    <t>07 2 08 L3030</t>
  </si>
  <si>
    <t>Субсидии на организацию бесплатного горячего питания обучающихся, получающих начальное общее образование в гос и мун образовательных организациях</t>
  </si>
  <si>
    <t>01 2 00 L3040</t>
  </si>
  <si>
    <t xml:space="preserve">5. Подпрогамма "Патриотическое воспитание детей и молодежи на 2019-2021гг" </t>
  </si>
  <si>
    <t>6. Подпрограмма "Безопасность образовательных учреждений и перевозки детей"</t>
  </si>
  <si>
    <t>8. Подпрограмма "Эффективный учитель-успешный ученик на 2019-2021гг"</t>
  </si>
  <si>
    <t>01 8 00 00590</t>
  </si>
  <si>
    <t>87 0 00 76040</t>
  </si>
  <si>
    <t>Субвенции на оплату части затрат на транспортировку угля граждан, проживающих в труднодоступных населенных пунктах</t>
  </si>
  <si>
    <t>01 1 00 76100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</si>
  <si>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нетрудоспособности, и в связи с материнством</t>
  </si>
  <si>
    <t>Субвенции на выплату ежемесячных пособий на первого ребенка, рожденного с 01 января 2018г</t>
  </si>
  <si>
    <t>10 3 P155730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</si>
  <si>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за счет средств резервного фонда Правительства Российской Федерации</t>
  </si>
  <si>
    <t>103015380F</t>
  </si>
  <si>
    <t>313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</si>
  <si>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</si>
  <si>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103P150840</t>
  </si>
  <si>
    <t xml:space="preserve">Субвенции бюджетам муниципальных районов на осуществление ежемесячных выплат на детей в возрасте от трех до семи лет включительно </t>
  </si>
  <si>
    <t>10301L3020</t>
  </si>
  <si>
    <t>Субвенции бюджетам муниципальных районов на осуществление ежемесячных выплат на детей в возрасте от трех до семи лет включительно, за счет средств резервного фонда Правительства Российской Федерации</t>
  </si>
  <si>
    <t>10301L302F</t>
  </si>
  <si>
    <t>88 0 00 00190</t>
  </si>
  <si>
    <t>Обслуживание государственного внутреннего и муниципального долга</t>
  </si>
  <si>
    <t>Процентные платежи по государственному долгу Республики Тыва</t>
  </si>
  <si>
    <t>13 2 00 13000</t>
  </si>
  <si>
    <t>Обслуживание государственного (муниципального) долга</t>
  </si>
  <si>
    <t>Дотации на поддержку мер по обеспечению сбалансированности бюджетов</t>
  </si>
  <si>
    <t xml:space="preserve">Обеспечение проведения выборов и референдумов </t>
  </si>
  <si>
    <t>Проведение выборов в представительные органы</t>
  </si>
  <si>
    <t xml:space="preserve">Специальные расходы </t>
  </si>
  <si>
    <t>98 0 00 76130</t>
  </si>
  <si>
    <t>Программа "Пожарная безопасность и защита насления и территории  Сут-Хольского кожууна на 2019- 2021гг."</t>
  </si>
  <si>
    <t>Программа "Профилактика и предотвращения правонарущений на территории   Сут-Хольского кожууна на 2019-2021гг."</t>
  </si>
  <si>
    <t>97 0 00 04000</t>
  </si>
  <si>
    <t>Субсидии бюджетам муниципальных образований Республики Тыва на поощрение победителей ежегодного конкурса на лучшее муниципальное образование по профилактике правонарушений</t>
  </si>
  <si>
    <t>01 0 0 075120</t>
  </si>
  <si>
    <t>Сельское хозяйство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</si>
  <si>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</si>
  <si>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04 1 67 76140</t>
  </si>
  <si>
    <t>Субсидии на оказание финансовой поддержки при исполнении расходных обязательств, связаных с реализацией губернаторского проекта "Новая жизнь" ("Чаа сорук")</t>
  </si>
  <si>
    <t>19 5 55 75030</t>
  </si>
  <si>
    <t>Программа "Обеспечение учета и оптимизация деятельности по управлению муниципальным имуществом в Сут-Хольском кожууне на 2019-2021гг."</t>
  </si>
  <si>
    <t>Программа "Развитие территориального общественного самоуправления в муниципальном районе "Сут-Хольский кожуун Республики Тыва".</t>
  </si>
  <si>
    <t>Жилищно-коммунальное хозяйство</t>
  </si>
  <si>
    <t xml:space="preserve">Субсидии на реализацию мероприятий по государственной программе "Комплексное развитие сельских территорий" (финансовая поддержка при исполнении расходных обязательств муниципальных образований по строительству жилья, предоставляемого по договору найма жилого помещения) </t>
  </si>
  <si>
    <t>40 1 02 L5760</t>
  </si>
  <si>
    <t>Капитальные вложения в объекты государственной (муниципальной) собственности</t>
  </si>
  <si>
    <t>40 1 0 2L5761</t>
  </si>
  <si>
    <t>Коммунальное хозяйство</t>
  </si>
  <si>
    <t>Благоустройство</t>
  </si>
  <si>
    <t>Программа "Комплексное развитие систем коммунальной инфраструктуры и благоустройства на территории сельского поселения сумона Суг-Аксынский на 2018-2020годы"</t>
  </si>
  <si>
    <t>06 1 20 00590</t>
  </si>
  <si>
    <t xml:space="preserve">Субсидии на поддержку мун программ формирования современой городской среды </t>
  </si>
  <si>
    <t>33 0 F2 55550</t>
  </si>
  <si>
    <t>Субсидии на реализацию мероприятий по госпрограмме "Комплексное развитие сельских территорий"</t>
  </si>
  <si>
    <t>40 2 01 L5760</t>
  </si>
  <si>
    <t xml:space="preserve">Охрана окружающей среды </t>
  </si>
  <si>
    <t>Субсидии на ликвидацию несанкционированных мест размещения отходов</t>
  </si>
  <si>
    <t>35 00 575100</t>
  </si>
  <si>
    <t>Программа "Социальная защита семьи и детей на  2019-2021 гг"</t>
  </si>
  <si>
    <t>Субсидии на реализацию мероприятий "Обучение, переподготовка, повышение квалификации для выборных должностных лиц местного самоуправления и муниципальных служащих Сут-Хольского кожууна Республики Тыва на 2019-2021 годы</t>
  </si>
  <si>
    <t>06 5 00 00590</t>
  </si>
  <si>
    <t>Программа "О дополнительных мерах по борьбе с туберкулезом и другими инфекционными заболеваниями в Сут-Хольском кожууне на 2019-2021гг."</t>
  </si>
  <si>
    <t>164 F154970</t>
  </si>
  <si>
    <t>970 0 0 04000</t>
  </si>
  <si>
    <t>Программа "Развитие средства массовой информации"</t>
  </si>
  <si>
    <t>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КОЖУУННОГО БЮДЖЕТА</t>
  </si>
  <si>
    <t xml:space="preserve">Обеспечение деятельности Хурала представителей </t>
  </si>
  <si>
    <t xml:space="preserve">Обеспечение функционирования администрации кожууна </t>
  </si>
  <si>
    <t>Обеспечение деятельности Контрольно-счетной палаты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</si>
  <si>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Сут-Хольского кожууна на 2019-2021 годы"</t>
  </si>
  <si>
    <t>Подпрограмма "Развитие и совершенствование единой дежурно-диспетчерской службы администрации Сут-Хольского кожууна на 2019-2021 годы"</t>
  </si>
  <si>
    <t>Подпрограмма "Защита населения и территорий от чрезвычайных ситуаций, обеспечение пожарной безопасности и безопасности людей на водных объектах Сут-Хольского кожууна на 2019-2021 годы"</t>
  </si>
  <si>
    <t>Программа "Развитие сельского хозяйства и регулирование рынков сельскохозяйственной продукции, сырья и продовольствия в Сут-Хольском кожууне на 2016-2020 годы"</t>
  </si>
  <si>
    <t>Программа " Развитие дорожного хозяйства на территории Сут-Хольского кожууна Республики Тыва" на 2019-2021 годы.</t>
  </si>
  <si>
    <t>40102L5760</t>
  </si>
  <si>
    <t>40102L5761</t>
  </si>
  <si>
    <t>Программа "Архитектура и градостроительство Сут-Хольского кожууна на 2017-2020гг."</t>
  </si>
  <si>
    <t>Программа "Комплексное  развитие систем коммунальной инфораструктуры и благоустройства на терриории сельскогог поселения сумон Суг-Аксынский  на 2018-2020 годы"</t>
  </si>
  <si>
    <t>01 1 00 00000</t>
  </si>
  <si>
    <t>Патриотическое воспитание детей и молодежи на 2019-2021 годы</t>
  </si>
  <si>
    <t>Подпрограмма "Безопасность образовательных учреждений и перевозки детей"</t>
  </si>
  <si>
    <t>8. Подпрограмма "Эффективный учитель-успешный ученик"</t>
  </si>
  <si>
    <t>03 0 00 00000</t>
  </si>
  <si>
    <t>Программа "О дополнительных мерах по борьбе с туберкулезом и другими инфекционными заболеваниями в Сут-Хольском кожууне на 2019-2021 годы"</t>
  </si>
  <si>
    <t>Сумма с изменениями</t>
  </si>
  <si>
    <t>%исп.</t>
  </si>
  <si>
    <t>Исполнение  межбюджетных трансфертов на долевое финансирование расходов на оплату коммунальных услуг (в отношении расходов по оплате электрической и тепловой энергии, водоснабжение), приобретение котельно-печного топлива для казенных, бюджетных и автономных учреждений (с учетом доставки услуг поставщика) на 2020 год</t>
  </si>
  <si>
    <t>Дорожный фонд Сут-Хольского кожууна Республики Тыва</t>
  </si>
  <si>
    <t>тыс. рублей</t>
  </si>
  <si>
    <t>ДОХОДЫ</t>
  </si>
  <si>
    <t>Показатель</t>
  </si>
  <si>
    <t>2019 год</t>
  </si>
  <si>
    <t>2020 год (отчетный год)</t>
  </si>
  <si>
    <t>2021 год (текущий год)</t>
  </si>
  <si>
    <t>План</t>
  </si>
  <si>
    <t>Факт</t>
  </si>
  <si>
    <t>Отклонение</t>
  </si>
  <si>
    <t>Исполнено на 01.02.2020г.</t>
  </si>
  <si>
    <t>Дорожный фонд с учетом остатков  и республиканских межбюджетных трансфертов</t>
  </si>
  <si>
    <t xml:space="preserve">Дорожный фонд собственные доходы и остатки средств </t>
  </si>
  <si>
    <t>Дорожный фонд (собственные доходы)</t>
  </si>
  <si>
    <t xml:space="preserve">Акцизы на нефтепродукты </t>
  </si>
  <si>
    <t>Другие источники</t>
  </si>
  <si>
    <t xml:space="preserve">Поступления межбюджетных трансфертов из республиканского бюджета 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</si>
  <si>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</t>
  </si>
  <si>
    <t>Дотация на выравнивание</t>
  </si>
  <si>
    <t>Остатки средств, всего:</t>
  </si>
  <si>
    <t>в том числе собственные средства</t>
  </si>
  <si>
    <t>в том числе республиканские межбюджетные трансферты</t>
  </si>
  <si>
    <t>РАСХОДЫ</t>
  </si>
  <si>
    <t>Расходы за счет собственных доходов</t>
  </si>
  <si>
    <t>1.1</t>
  </si>
  <si>
    <t>Строительство, реконструкция, содержание, капитальный  ремонт и ремонт автомобильных дорог общего пользования и мостов регионального значения</t>
  </si>
  <si>
    <t>в том числе</t>
  </si>
  <si>
    <t>Разработка проектной и сметной документации для ремонта объектов нефинансовых активов</t>
  </si>
  <si>
    <t>Проведение инвентаризации и паспортизации зданий, сооружений, других основных средств</t>
  </si>
  <si>
    <t>Транспортные услуги</t>
  </si>
  <si>
    <t>Увеличение стоимости горюче-смазочных материалов</t>
  </si>
  <si>
    <t>Ремонт и содержание автомобильных дорог</t>
  </si>
  <si>
    <t>Увеличение стоимости строительных материалов</t>
  </si>
  <si>
    <t>Увеличение хозяйственных материалов</t>
  </si>
  <si>
    <t>1.2</t>
  </si>
  <si>
    <t>Погашение кредиторской задолженности прошлых лет</t>
  </si>
  <si>
    <t>1.3</t>
  </si>
  <si>
    <t>Содержание учреждений, осуществляющих управление региональными автомобильными дорогами</t>
  </si>
  <si>
    <t>1.4</t>
  </si>
  <si>
    <t>Уплата процентов за пользование  бюджетным кредитом, полученного на строительство,   ремонт и капитальный ремонт автомобильных дорог общего пользования регионального значения</t>
  </si>
  <si>
    <t>1.5</t>
  </si>
  <si>
    <t xml:space="preserve">Погашение бюджетных кредитов, полученных на строительство, ремонт и капитальный ремонт автомобильных дорог общего пользования регионального значения </t>
  </si>
  <si>
    <t>1.6</t>
  </si>
  <si>
    <t>Уборка снега, мусора</t>
  </si>
  <si>
    <t>Межбюджетные трансферты бюджетам поселений, всего, в т.ч.:</t>
  </si>
  <si>
    <t>2.1</t>
  </si>
  <si>
    <t>Капитальный ремонт и ремонт автомобильных дорог общего пользования населенных пунктов</t>
  </si>
  <si>
    <t>2.1.1</t>
  </si>
  <si>
    <t>в том числе…</t>
  </si>
  <si>
    <t>2.2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</si>
  <si>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</si>
  <si>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2.3</t>
  </si>
  <si>
    <t>Проектирование, строительство, реконструкцию автомобильных дорог общего пользования местного значения в том числе  с твердым покрытием до сельских населенных пунктов, не имеющих круглогодичной связи с сетью автомобильных дорог общего пользования</t>
  </si>
  <si>
    <t>Расходы за счет межбюджетных трансфертов из республиканского бюджета</t>
  </si>
  <si>
    <t>4.1</t>
  </si>
  <si>
    <t>4.2</t>
  </si>
  <si>
    <t>5</t>
  </si>
  <si>
    <t>ИТОГО расходы за счет собственных доходов</t>
  </si>
  <si>
    <t>6</t>
  </si>
  <si>
    <t>ВСЕГО РАСХОДЫ с республиканскими трасфертами</t>
  </si>
  <si>
    <t>7</t>
  </si>
  <si>
    <t>Справочно: общий объем дорожного фонда консолидированного бюджета _________________________ Республики Тыва</t>
  </si>
  <si>
    <t>Направление использования</t>
  </si>
  <si>
    <t>Реквизиты акта</t>
  </si>
  <si>
    <t>Направление использования средств фонда</t>
  </si>
  <si>
    <t>Объем резервного фонда, 2020 год, всего</t>
  </si>
  <si>
    <t>Приобретение продуктов питания</t>
  </si>
  <si>
    <t>Распоряжение №225-р от 27.05.2020г.</t>
  </si>
  <si>
    <t xml:space="preserve">Обеспечение продуктами питания клинически здоровых лиц, содержащихся в обсерваторе  </t>
  </si>
  <si>
    <t>Приобретение горюче-смазочного материала</t>
  </si>
  <si>
    <t>Распоряжение №285-р от 22.07.2020г.</t>
  </si>
  <si>
    <t xml:space="preserve">Для выполнения аварийно-восстановительных работ разрушеной насыпи на южно-западной стороне с. Алдан-Маадыр в результате наводнения </t>
  </si>
  <si>
    <t>Распоряжение №302-р от 28.07.2020г.</t>
  </si>
  <si>
    <t>Ликвидация последствий ЧС в с. Алдан-Маадыр</t>
  </si>
  <si>
    <t>Распоряжение №142 от 10.04.2020г.</t>
  </si>
  <si>
    <t xml:space="preserve">Организация у моста р. Хемчик круглосуточного поста (профилактика КОВИД-19) </t>
  </si>
  <si>
    <t>Распоряжение №39-р от 07.02.2020г.</t>
  </si>
  <si>
    <t>Объем резервного фонда, 2021 год, всего</t>
  </si>
  <si>
    <t>Объемы софинансирования целевых трансфертов из местного  бюджета муниципального района "Сут-Хольский кожуун Республики Тыва"</t>
  </si>
  <si>
    <t>Направление средств</t>
  </si>
  <si>
    <t>Примечание (что, где сделано)</t>
  </si>
  <si>
    <t>Субсидии на поддержку муниципальных программ формирования современной городской среды</t>
  </si>
  <si>
    <t>Муниципальный контракт №20/3 от 24.05.2020г., акт о приемке вып-ых работ №1 от 29.06.2020г на 135123,09 рублей, акт вып-ых работ №2 от 14.09.2020г на 276317,04 рублей, акт о вып-ых работах №3 от 17.11.2020г на 92297,37 рублей. Договор №56 ТД от 27.10.2020г на 247755 рублей, договор №55 ТД от 27.10.2020г на 246007,50 рублей</t>
  </si>
  <si>
    <t>Субсидии на поддержку мероприятий по обеспечению жильем молодых семей</t>
  </si>
  <si>
    <t xml:space="preserve">Распоряжение №228-р от 02.06.2020г. - Ондар Чаяне Борисовне на 630000,00 рублей; Распоряжение №227-р от 02.06.2020г. Ондар Анисье Амировне на 787500,00 рублей; </t>
  </si>
  <si>
    <t>Субсидии на создание в общеобразовательных организациях,расположенных в сельской местности,условий для занятий физической культурой и спортом</t>
  </si>
  <si>
    <t>Договор строительства "Гнезда орла" на 315000 рублей; расходы по проведению спортивных мероприятий</t>
  </si>
  <si>
    <t>Субсидии на обеспечение специализированной коммунальной техникой предприятий жилищно-коммунального комплекса</t>
  </si>
  <si>
    <t>Субсидии бюджетам МО РТ на поощрение победителей ежегодного конкурса на лучшее МО по РТ профилактики и правонарушений</t>
  </si>
  <si>
    <t>Договор №ЗА9-000501 от 28.08.2020г на 111999 рублей</t>
  </si>
  <si>
    <t>Губернаторский проект "Чаа сорук"</t>
  </si>
  <si>
    <t>Оплата по соглашению №48 от 19.05.2020г. Сарыглар Кошкен Хеймер-оолович на 350000 рублей; оплата по соглашению №49 от 19.05.2020г. Монгуш Бронислав Кыдат-оолович на 350000 рублей; оплата по соглашению №42 от 15.05.2020г. Сат Мерген Викторович на 350000 рублей; оплата по соглашению №43 от 15.05.2020г. Удун-оол Орлан Ашакович на 350000 рублей.</t>
  </si>
  <si>
    <t>Субсидии на реализацию мероприятий по государственной программе "Комплексное развитие сельских территорий"</t>
  </si>
  <si>
    <t xml:space="preserve">Договор №20/8 от 20.10.2020г на 230539,48 рублей акт вып-х работ №1 от 14.12.2020г.; Договор №20/9 от 20.10.2020г на 230539,48 рублей: договор №20/10 от 20.10.2020г на 230539,48 рублей; договор №20/11 от 20.10.2020г на 230539,48 рублей; муниципальный контракт №20/5 от 20.06.2020г. на 714306,20 рублей; муниципальный контракт №20/4 от 15.06.2020г. на 3732876,84 рублей; контракт №2020/7 от 05.10.2020г. на 3202088,04 рублей </t>
  </si>
  <si>
    <t>Муниципальный контракт №2020/7 на выполнение работ по ликвидации несанкционированных свалок, на территории сельских поселений Сут-Хольского кожууна Республики Тыва от 13.07.2020г с МУП "Благоустройство" г.Кызыла РТ</t>
  </si>
  <si>
    <t>Субсидии на реализацию мероприятий по строительству или приобретению жилья по договорам найма жилого помещения</t>
  </si>
  <si>
    <t>Муниципальный контракт №2020/03 от 11.05.2020г на 2420970 рублей; контракт №2020/04 от 11.05.2020г на 1833278 рублей</t>
  </si>
  <si>
    <t xml:space="preserve">Направление использования средств резервного фонда Администрации Сут-Хольского кожууна </t>
  </si>
  <si>
    <t>Источники финансирования дефицита на 2020 год</t>
  </si>
  <si>
    <t>тыс.рублей</t>
  </si>
  <si>
    <t>Исполнение консолидированного бюджета Сут-Хольского кожууна РТ за 2020г</t>
  </si>
  <si>
    <t>ИСПОЛНЕНИЕ  БЮДЖЕТНЫХ АССИГНОВАНИЙ НА 2020 ГОД</t>
  </si>
  <si>
    <t>к постановлению Администрации муниципального района Сут-Хольский кожуун РТ "О рассмотрении отчета об исполнении бюджета муниципального района Сут-Хольский  кожуун Республики Тыва   за 2019 год»</t>
  </si>
  <si>
    <t xml:space="preserve">Исполнение  доходов, в том числе безвозмездные поступления, полученные из республиканского бюджета  на 2020 год  </t>
  </si>
  <si>
    <t>(тыс. рублей)</t>
  </si>
  <si>
    <t xml:space="preserve">Коды бюджетной классификации  </t>
  </si>
  <si>
    <t xml:space="preserve">      Наименование доходов </t>
  </si>
  <si>
    <t>1 00 00000 00 0000 000</t>
  </si>
  <si>
    <t>1  01 0000 00 0000 000</t>
  </si>
  <si>
    <t>НАЛОГИ НА ПРИБЫЛЬ,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</si>
  <si>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</si>
  <si>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</si>
  <si>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</si>
  <si>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</si>
  <si>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</si>
  <si>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</si>
  <si>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</si>
  <si>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</si>
  <si>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</si>
  <si>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</si>
  <si>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</si>
  <si>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</si>
  <si>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</si>
  <si>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1 05 02000 02 0000 110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</si>
  <si>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</si>
  <si>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</si>
  <si>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</si>
  <si>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</si>
  <si>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1 06 000000 00 0000 00</t>
  </si>
  <si>
    <t>1 06 02000 02 0000 110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</si>
  <si>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</si>
  <si>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</si>
  <si>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</si>
  <si>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</si>
  <si>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</si>
  <si>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</si>
  <si>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1 08 00000 00 0000 000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</si>
  <si>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</si>
  <si>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</si>
  <si>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1  11  05013 05 0000 120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</si>
  <si>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</si>
  <si>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</si>
  <si>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</si>
  <si>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</si>
  <si>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</si>
  <si>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</si>
  <si>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</si>
  <si>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112 00000 00 0000 000</t>
  </si>
  <si>
    <t xml:space="preserve">ПЛАТЕЖИ ПРИ ПОЛЬЗОВАНИИ ПРИРОДНЫМИ РЕСУРСАМИ </t>
  </si>
  <si>
    <t>1 12 01010 01 0000 120</t>
  </si>
  <si>
    <t xml:space="preserve">Плата за негативное воздействие на окружающую среду </t>
  </si>
  <si>
    <t>1 12 01041 01 0000 120</t>
  </si>
  <si>
    <t>Плата за размещение отходов производства</t>
  </si>
  <si>
    <t xml:space="preserve"> 1 13 00000 00 0000 000</t>
  </si>
  <si>
    <t>ДОХОДЫ ОТ ОКАЗАНИЯ ПЛАТНЫХ УСЛУГ  И КОМПЕНСАЦИИ ЗАТРАТ ГОСУДАРСТВА</t>
  </si>
  <si>
    <t>1 13 01995 10 0000 130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</si>
  <si>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</si>
  <si>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</si>
  <si>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</si>
  <si>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</si>
  <si>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</si>
  <si>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</si>
  <si>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</si>
  <si>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</si>
  <si>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</si>
  <si>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</si>
  <si>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</si>
  <si>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</si>
  <si>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2 00 00000 00 0000 000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</si>
  <si>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</si>
  <si>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</si>
  <si>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</si>
  <si>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</si>
  <si>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</si>
  <si>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Дотации бюджетам муниципальных районов на выравнивание бюджетной обеспеченности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</si>
  <si>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</si>
  <si>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</si>
  <si>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</si>
  <si>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</si>
  <si>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</si>
  <si>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</si>
  <si>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2 02 29999 05 0000 150</t>
  </si>
  <si>
    <t xml:space="preserve">Субсидии бюджетам муниципальных районов на поощрение победителей ежегодного конкурса на лучшее муниципальное образование по профилактике правонарушений   </t>
  </si>
  <si>
    <t xml:space="preserve">Субсидии на обеспечение специализированной коммунальной техникой предприятий жилищно-коммунального комплекса   </t>
  </si>
  <si>
    <t xml:space="preserve"> 202 29999 05 0000 150</t>
  </si>
  <si>
    <t>12428,9</t>
  </si>
  <si>
    <t xml:space="preserve"> 202 29999 05 0000150</t>
  </si>
  <si>
    <t xml:space="preserve">Субсидии на закупку и доставку угля для казенных, бюджетных и автономных  учреждений расположенных в труднодоступных населенных пунктах  </t>
  </si>
  <si>
    <t>1375,8</t>
  </si>
  <si>
    <t xml:space="preserve"> 203 29999 05 0000150</t>
  </si>
  <si>
    <t xml:space="preserve">Субсидия бюджетам муниципальных районов на реализацию проекта "Новая жизнь" </t>
  </si>
  <si>
    <t>1320,0</t>
  </si>
  <si>
    <t>202 25519 05 0000150</t>
  </si>
  <si>
    <t xml:space="preserve">Субсидия на поддержку отрасли культуры </t>
  </si>
  <si>
    <t>202 25497 05 0000 150</t>
  </si>
  <si>
    <t xml:space="preserve">Субсидии бюджетам муниципальных районов на реализацию мероприятий по обеспечению жильем молодых семей </t>
  </si>
  <si>
    <t>1212,0</t>
  </si>
  <si>
    <t>202 25555 05 0000 150</t>
  </si>
  <si>
    <t xml:space="preserve">Субсидии бюджетам муниципальных районов на реализацию программ формирования современной городской среды  </t>
  </si>
  <si>
    <t>950,0</t>
  </si>
  <si>
    <t>202 25466 05 000 150</t>
  </si>
  <si>
    <t xml:space="preserve"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</si>
  <si>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1670,0</t>
  </si>
  <si>
    <t xml:space="preserve">2 02 25576 05 0000 150
</t>
  </si>
  <si>
    <t xml:space="preserve">Субсидии бюджетам субъектов Российской Федерации на обеспечение комплексного развития сельских территорий
</t>
  </si>
  <si>
    <t>11403,4</t>
  </si>
  <si>
    <t>2 02 25304 05 0000 150</t>
  </si>
  <si>
    <t>Субсидии на организацию бесплатного горячего питания обучающихся,получающих начальное общее образование в государственных и муниципальных образовательных организациях</t>
  </si>
  <si>
    <t>3786,4</t>
  </si>
  <si>
    <t>Субсидии на частичную компенсацию дополнительных расходов на повышение оплаты труда работников бюджетной сферы и иные цели</t>
  </si>
  <si>
    <t>28694,9</t>
  </si>
  <si>
    <t>4100,0</t>
  </si>
  <si>
    <t>2 02 30000 00 0000 150</t>
  </si>
  <si>
    <t>Субвенции бюджетам бюджетной системы Российской Федерации</t>
  </si>
  <si>
    <t>2 02 30022 05 0000 150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</si>
  <si>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</si>
  <si>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</si>
  <si>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</si>
  <si>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2 02 30013 05 0000 150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</si>
  <si>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</si>
  <si>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2 02 35118 05 0000 150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</si>
  <si>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</si>
  <si>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</si>
  <si>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</si>
  <si>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202 20235302 05 0000 150</t>
  </si>
  <si>
    <t xml:space="preserve">Субвенции бюджетам муниципальных районов на осуществление ежемесячных выплат на детей  в возрасте от трех до семи лет включительно   
</t>
  </si>
  <si>
    <t>2 02 35250 05 0000 150</t>
  </si>
  <si>
    <t>Субвенции бюджетам муниципальных районов на оплату жилищно-коммунальных услуг отдельным категориям граждан</t>
  </si>
  <si>
    <t>2 02 35380 05 0000 150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</si>
  <si>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</si>
  <si>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2 02 35462 05 0000 150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</si>
  <si>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</si>
  <si>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2 02 35573 05 0000 150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</si>
  <si>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</si>
  <si>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202 35084 05 0000 150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</si>
  <si>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</si>
  <si>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202 35469 05 0000 150</t>
  </si>
  <si>
    <t xml:space="preserve">Субвенции на осуществление переданных  государственных полномочий по подготовке и проведению Всероссийской переписи населения 2020 года </t>
  </si>
  <si>
    <t>2 02 40000 00 0000 150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</si>
  <si>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</si>
  <si>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</si>
  <si>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202 45303 05 0000 150</t>
  </si>
  <si>
    <t xml:space="preserve"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госудаственных и муниципальных общеобразовательных организаций  </t>
  </si>
  <si>
    <t xml:space="preserve">ИТОГО ДОХОДОВ </t>
  </si>
  <si>
    <t>* 05 - бюджет муниципального района</t>
  </si>
  <si>
    <t>* 04 - бюджет городского округа</t>
  </si>
  <si>
    <t xml:space="preserve">                                                                   Приложение   № 2</t>
  </si>
  <si>
    <t>000 116 01053 01 0000 140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</si>
  <si>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</si>
  <si>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</si>
  <si>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000 116 01073 01 0000 140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</si>
  <si>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</si>
  <si>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</si>
  <si>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000 116 01083 01 0000 140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</si>
  <si>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</si>
  <si>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</si>
  <si>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000 116 01143 01 0000 140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</si>
  <si>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</si>
  <si>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</si>
  <si>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000 11607010 05 0000 140</t>
  </si>
  <si>
    <t>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</si>
  <si>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</si>
  <si>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000 116 07090 05 0000 140</t>
  </si>
  <si>
    <t>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</si>
  <si>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</si>
  <si>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000 116 10123 01 0051 140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</si>
  <si>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</si>
  <si>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</si>
  <si>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000 116 10123010 051 140</t>
  </si>
  <si>
    <t>000 116 10123010051 140</t>
  </si>
  <si>
    <t>000 116 10129 01 0000 140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</si>
  <si>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</si>
  <si>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</si>
  <si>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000 2 02 10000 00 0000 150</t>
  </si>
  <si>
    <t>000 2 02 15001 00 0000 150</t>
  </si>
  <si>
    <t xml:space="preserve">Дотации на выравнивание бюджетной обеспеченности муниципальных районов из Республиканского фонда финансовой поддержки муниципальных районов </t>
  </si>
  <si>
    <t>000 2 02 15002 05 0000 150</t>
  </si>
  <si>
    <t xml:space="preserve">000 2 02 20000 00 0000 150 </t>
  </si>
  <si>
    <t>000 202 25097 05 0000 150</t>
  </si>
  <si>
    <t>20225097050000150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</si>
  <si>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</si>
  <si>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000 202 25304 05 0000 150</t>
  </si>
  <si>
    <t>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</si>
  <si>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</si>
  <si>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000 202 25466 05 0000 150</t>
  </si>
  <si>
    <t>20225466050000150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</si>
  <si>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</si>
  <si>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000 202 25497 05 0000 150</t>
  </si>
  <si>
    <t>20225497050000150</t>
  </si>
  <si>
    <t>Субсидии бюджетам муниципальных районов на реализацию мероприятий по обеспечению жильем молодых семей</t>
  </si>
  <si>
    <t>000 202 25555 05 0000 150</t>
  </si>
  <si>
    <t>20225555050000150</t>
  </si>
  <si>
    <t>Субсидии бюджетам муниципальных районов на реализацию программ формирования современной городской среды</t>
  </si>
  <si>
    <t>000 202 25576 05 0000 150</t>
  </si>
  <si>
    <t>20225576050000150</t>
  </si>
  <si>
    <t>Субсидии бюджетам муниципальных районов на обеспечение комплексного развития сельских территорий</t>
  </si>
  <si>
    <t>000 20227576 05 0000 150</t>
  </si>
  <si>
    <t>20227576050000150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</si>
  <si>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</si>
  <si>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000 202 29999 05 0000 150</t>
  </si>
  <si>
    <t>20229999050000150</t>
  </si>
  <si>
    <t>Прочие субсидии бюджетам муниципальных районов</t>
  </si>
  <si>
    <t>000 202 30000 00 0000 150</t>
  </si>
  <si>
    <t>000 2 02 30022 05 0000 150</t>
  </si>
  <si>
    <t>000 20230024 05 0000 150</t>
  </si>
  <si>
    <t>20230024050000150</t>
  </si>
  <si>
    <t>000 20235084 05 0000 150</t>
  </si>
  <si>
    <t>20235084050000150</t>
  </si>
  <si>
    <t>000 20235118 05 0000 150</t>
  </si>
  <si>
    <t>20235118050000150</t>
  </si>
  <si>
    <t>000 20235120 05 0000 150</t>
  </si>
  <si>
    <t>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</si>
  <si>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</si>
  <si>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000 20235250 05 0000 150</t>
  </si>
  <si>
    <t>20235250050000150</t>
  </si>
  <si>
    <t>000 20235302 05 0000 150</t>
  </si>
  <si>
    <t>20235302050000150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</si>
  <si>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</si>
  <si>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000 20235380 05 0000 150</t>
  </si>
  <si>
    <t>20235380050000150</t>
  </si>
  <si>
    <t>000 20235573 05 0000 150</t>
  </si>
  <si>
    <t>20235573050000150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</si>
  <si>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</si>
  <si>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000 202 04000 00 0000 150</t>
  </si>
  <si>
    <t>000 202 40014 05 0000 150</t>
  </si>
  <si>
    <t>000 202 45303 05 0000 150</t>
  </si>
  <si>
    <t>20245303050000150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</si>
  <si>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</si>
  <si>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Приложение №6</t>
  </si>
  <si>
    <t>Приложение №12</t>
  </si>
  <si>
    <t>Приложение №10</t>
  </si>
  <si>
    <t>Приложение №9</t>
  </si>
  <si>
    <t>ИСПОЛНЕНИЕ ВЕДОМСТВЕННОЙ СТРУКТУРЫ РАСХОДОВ КОЖУУННОГО БЮДЖЕТА НА 2020 ГОД</t>
  </si>
  <si>
    <t>Программа "Развитие информационного общества и средст массовой коммуникации информатизации Сут-Хольского кожууна на 2020 год"</t>
  </si>
  <si>
    <t>Программа "Социальная защита семьи и детей на  2020 годы.</t>
  </si>
  <si>
    <t>Программа "О дополнительных мерах по борьбе с туберкулезом и другими инфекционными заболеваниями в Сут-Хольском кожууне на 2020гг."</t>
  </si>
  <si>
    <t>Программа "Совершенствование молодежной политики и развитие физической культуры и спорта Сут-Хольского кожууна на 2020 годы"</t>
  </si>
  <si>
    <t>Программа "Комплексное развитие систем коммунальной инфраструктуры на территории муниципального района Сут-Хольский  кожуун Республики Тыва на 2020 год"</t>
  </si>
  <si>
    <t>Программа "Профилактика и предотвращение правонарущений на территории  Сут-Хольского кожууна на 2020 год"</t>
  </si>
  <si>
    <t>Программа "Развитие малого и среднего предпринимательства в Сут-Хольском кожууне на 2020год"</t>
  </si>
  <si>
    <t>Программа "Охрана земель сельскохозяйственного назначения на территории муниципального района Сут-Хольский кожуун Республики Тыва на 2020 год"</t>
  </si>
  <si>
    <t>Программа "Развитие туризма в Сут-Хольском кожууне на 2020 гг".</t>
  </si>
  <si>
    <t>Программа "Развитие народного творчества в Сут-Хольском кожууне на 2020гг"</t>
  </si>
  <si>
    <t>Программа "Развитие сельского хозяйства и регулирование рынков сельскохозяйственной продукции, сырья и продовольствия в Сут-Хольском кожууне на 2020  год"</t>
  </si>
  <si>
    <t>Подпрограмма "Развитие физической культуры и спорта 2020г. "</t>
  </si>
  <si>
    <t xml:space="preserve"> Подпрограмма "В каждой семье - не менее одного ребенка с высшим образованием на 2020 год"</t>
  </si>
  <si>
    <t>Программа "Доступная среда и реабилитация отдельных категорий граждан в кожууне на 2020 год."</t>
  </si>
  <si>
    <t>Программа "Пожарная безопасность и защита насления  Сут-Хольского кожууна от чрезвычайных ситуаций в 2020 год"</t>
  </si>
  <si>
    <t>к Решению Хурала представителей Сут-Хольского кожууна РТ "О рассмотрении отчета об исполнении бюджета муниципального района Сут-Хольский кожуун Республики Тыва за 2020 год"</t>
  </si>
  <si>
    <t>"29" июня 2021 год.№131</t>
  </si>
  <si>
    <t xml:space="preserve"> от "29" июня 2021 год.№131</t>
  </si>
  <si>
    <t>к Решению Хурала представителей Сут-Хольского кожууна РТ "О рассмотрении отчета об исполнении бюджета муниципального района Сут-Хольский  кожуун Республики Тыва   за 2020 год»</t>
  </si>
  <si>
    <t>от "29" июня 2021 г №131</t>
  </si>
  <si>
    <t>к Решению Хурала представителей Сут-Хольского кожууна РТ "О рассмотрении отчета об исполнении бюджета муниципального района Сут-Хольтский кожуун Республики Тыва за 2020 год"</t>
  </si>
  <si>
    <t>"29" июня 2021г. № 131</t>
  </si>
  <si>
    <t>"29" июня 2021год.№ 131</t>
  </si>
  <si>
    <t>к Решению Хурала представителей  Сут-Хольского кожууна РТ "О рассмотрении отчета об исполнении бюджета муниципального района Сут-Хольтский кожуун Республики Тыва за 2020 год"</t>
  </si>
  <si>
    <t>"29"  июня 2021 год.№131</t>
  </si>
  <si>
    <t>от "29" июня 2021г  №131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</si>
</sst>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р_._-;\-* #,##0.00_р_._-;_-* &quot;-&quot;??_р_._-;_-@_-"/>
    <numFmt numFmtId="164" formatCode="#,##0.0"/>
    <numFmt numFmtId="165" formatCode="000"/>
    <numFmt numFmtId="166" formatCode="00"/>
    <numFmt numFmtId="167" formatCode="000.0"/>
    <numFmt numFmtId="168" formatCode="0.0"/>
    <numFmt numFmtId="169" formatCode="&quot;&quot;###,##0.00"/>
    <numFmt numFmtId="170" formatCode="_(* #,##0.00_);_(* \(#,##0.00\);_(* &quot;-&quot;??_);_(@_)"/>
    <numFmt numFmtId="171" formatCode="_(* #,##0_);_(* \(#,##0\);_(* &quot;-&quot;??_);_(@_)"/>
    <numFmt numFmtId="172" formatCode="_(* #,##0.0_);_(* \(#,##0.0\);_(* &quot;-&quot;??_);_(@_)"/>
    <numFmt numFmtId="173" formatCode="_-* #,##0.0_р_._-;\-* #,##0.0_р_._-;_-* &quot;-&quot;?_р_._-;_-@_-"/>
    <numFmt numFmtId="174" formatCode="&quot;&quot;#000"/>
    <numFmt numFmtId="175" formatCode="0000000;[Red]\-0000000;&quot;&quot;"/>
    <numFmt numFmtId="176" formatCode="000;[Red]\-000;&quot;&quot;"/>
    <numFmt numFmtId="177" formatCode="#,##0.0;[Red]\-#,##0.0;_-* &quot; &quot;?_р_._-"/>
    <numFmt numFmtId="178" formatCode="#,##0;[Red]\-#,##0;_-* &quot; &quot;?_р_._-"/>
    <numFmt numFmtId="179" formatCode="#\ ##0.00;[Red]\-#\ ##0.00"/>
    <numFmt numFmtId="180" formatCode="[$-F800]dddd\,\ mmmm\ dd\,\ yyyy"/>
    <numFmt numFmtId="181" formatCode="#,##0_ ;[Red]\-#,##0\ "/>
    <numFmt numFmtId="182" formatCode="#,##0.0_ ;[Red]\-#,##0.0\ "/>
  </numFmts>
  <fonts count="64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15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6" fillId="0" borderId="0"/>
    <xf numFmtId="0" fontId="2" fillId="0" borderId="0"/>
    <xf numFmtId="0" fontId="6" fillId="0" borderId="0"/>
    <xf numFmtId="43" fontId="11" fillId="0" borderId="0" applyFont="0" applyFill="0" applyBorder="0" applyAlignment="0" applyProtection="0"/>
    <xf numFmtId="0" fontId="14" fillId="0" borderId="0"/>
    <xf numFmtId="0" fontId="19" fillId="0" borderId="0"/>
    <xf numFmtId="0" fontId="17" fillId="0" borderId="0"/>
    <xf numFmtId="0" fontId="19" fillId="0" borderId="0"/>
    <xf numFmtId="0" fontId="6" fillId="0" borderId="0"/>
    <xf numFmtId="0" fontId="45" fillId="0" borderId="0"/>
    <xf numFmtId="0" fontId="11" fillId="0" borderId="0"/>
    <xf numFmtId="0" fontId="19" fillId="0" borderId="0"/>
    <xf numFmtId="170" fontId="6" fillId="0" borderId="0" applyFont="0" applyFill="0" applyBorder="0" applyAlignment="0" applyProtection="0"/>
    <xf numFmtId="0" fontId="19" fillId="0" borderId="0"/>
  </cellStyleXfs>
  <cellXfs count="528">
    <xf numFmtId="0" fontId="0" fillId="0" borderId="0" xfId="0"/>
    <xf numFmtId="0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Border="1" applyAlignment="1" applyProtection="1">
      <alignment horizontal="center" vertical="center" wrapText="1"/>
      <protection hidden="1"/>
    </xf>
    <xf numFmtId="165" fontId="8" fillId="2" borderId="0" xfId="2" applyNumberFormat="1" applyFont="1" applyFill="1" applyBorder="1" applyAlignment="1" applyProtection="1">
      <alignment horizontal="center" vertical="center" wrapText="1"/>
      <protection hidden="1"/>
    </xf>
    <xf numFmtId="166" fontId="8" fillId="2" borderId="0" xfId="2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>
      <alignment horizontal="left" vertical="center" wrapText="1"/>
    </xf>
    <xf numFmtId="0" fontId="1" fillId="0" borderId="0" xfId="4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65" fontId="8" fillId="2" borderId="0" xfId="2" applyNumberFormat="1" applyFont="1" applyFill="1" applyBorder="1" applyAlignment="1" applyProtection="1">
      <alignment vertical="center" wrapText="1"/>
      <protection hidden="1"/>
    </xf>
    <xf numFmtId="165" fontId="7" fillId="2" borderId="0" xfId="2" applyNumberFormat="1" applyFont="1" applyFill="1" applyBorder="1" applyAlignment="1" applyProtection="1">
      <alignment vertical="center" wrapText="1"/>
      <protection hidden="1"/>
    </xf>
    <xf numFmtId="167" fontId="8" fillId="2" borderId="0" xfId="2" applyNumberFormat="1" applyFont="1" applyFill="1" applyBorder="1" applyAlignment="1" applyProtection="1">
      <alignment vertical="center" wrapText="1"/>
      <protection hidden="1"/>
    </xf>
    <xf numFmtId="164" fontId="4" fillId="0" borderId="0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169" fontId="5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170" fontId="13" fillId="0" borderId="0" xfId="5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3" applyFont="1" applyBorder="1" applyAlignment="1">
      <alignment wrapText="1"/>
    </xf>
    <xf numFmtId="0" fontId="2" fillId="0" borderId="0" xfId="3" applyFont="1" applyBorder="1" applyAlignment="1">
      <alignment wrapText="1"/>
    </xf>
    <xf numFmtId="0" fontId="4" fillId="0" borderId="0" xfId="3" applyFont="1" applyBorder="1" applyAlignment="1">
      <alignment wrapText="1"/>
    </xf>
    <xf numFmtId="49" fontId="5" fillId="0" borderId="0" xfId="3" applyNumberFormat="1" applyFont="1" applyBorder="1" applyAlignment="1">
      <alignment horizontal="center" wrapText="1"/>
    </xf>
    <xf numFmtId="0" fontId="4" fillId="0" borderId="0" xfId="3" applyFont="1" applyBorder="1" applyAlignment="1">
      <alignment horizontal="center" wrapText="1"/>
    </xf>
    <xf numFmtId="49" fontId="5" fillId="0" borderId="0" xfId="3" applyNumberFormat="1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2" fillId="2" borderId="0" xfId="3" applyFont="1" applyFill="1" applyBorder="1" applyAlignment="1">
      <alignment wrapText="1"/>
    </xf>
    <xf numFmtId="0" fontId="3" fillId="0" borderId="0" xfId="1" applyFont="1" applyBorder="1"/>
    <xf numFmtId="0" fontId="3" fillId="2" borderId="0" xfId="1" applyFont="1" applyFill="1" applyBorder="1"/>
    <xf numFmtId="0" fontId="9" fillId="0" borderId="0" xfId="3" applyFont="1" applyBorder="1" applyAlignment="1">
      <alignment wrapText="1"/>
    </xf>
    <xf numFmtId="164" fontId="2" fillId="0" borderId="0" xfId="3" applyNumberFormat="1" applyFont="1" applyBorder="1" applyAlignment="1">
      <alignment wrapText="1"/>
    </xf>
    <xf numFmtId="164" fontId="5" fillId="0" borderId="0" xfId="3" applyNumberFormat="1" applyFont="1" applyBorder="1" applyAlignment="1">
      <alignment wrapText="1"/>
    </xf>
    <xf numFmtId="0" fontId="12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wrapText="1"/>
    </xf>
    <xf numFmtId="0" fontId="4" fillId="2" borderId="0" xfId="3" applyFont="1" applyFill="1" applyBorder="1" applyAlignment="1">
      <alignment wrapText="1"/>
    </xf>
    <xf numFmtId="0" fontId="5" fillId="2" borderId="0" xfId="3" applyFont="1" applyFill="1" applyBorder="1" applyAlignment="1">
      <alignment wrapText="1"/>
    </xf>
    <xf numFmtId="164" fontId="10" fillId="2" borderId="0" xfId="3" applyNumberFormat="1" applyFont="1" applyFill="1" applyBorder="1" applyAlignment="1">
      <alignment wrapText="1"/>
    </xf>
    <xf numFmtId="164" fontId="5" fillId="2" borderId="0" xfId="3" applyNumberFormat="1" applyFont="1" applyFill="1" applyBorder="1" applyAlignment="1">
      <alignment wrapText="1"/>
    </xf>
    <xf numFmtId="49" fontId="4" fillId="0" borderId="0" xfId="3" applyNumberFormat="1" applyFont="1" applyBorder="1" applyAlignment="1">
      <alignment horizontal="center" wrapText="1"/>
    </xf>
    <xf numFmtId="49" fontId="4" fillId="0" borderId="0" xfId="3" applyNumberFormat="1" applyFont="1" applyBorder="1" applyAlignment="1">
      <alignment wrapText="1"/>
    </xf>
    <xf numFmtId="0" fontId="8" fillId="0" borderId="0" xfId="0" applyFont="1"/>
    <xf numFmtId="0" fontId="4" fillId="0" borderId="0" xfId="3" applyFont="1" applyBorder="1" applyAlignment="1">
      <alignment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8" fillId="0" borderId="0" xfId="2" applyFont="1" applyAlignment="1" applyProtection="1">
      <alignment vertical="center" wrapText="1"/>
      <protection hidden="1"/>
    </xf>
    <xf numFmtId="0" fontId="5" fillId="0" borderId="0" xfId="4" applyNumberFormat="1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NumberFormat="1" applyFont="1" applyAlignment="1">
      <alignment wrapText="1"/>
    </xf>
    <xf numFmtId="0" fontId="5" fillId="0" borderId="0" xfId="3" applyFont="1" applyBorder="1" applyAlignment="1">
      <alignment horizontal="center" wrapText="1"/>
    </xf>
    <xf numFmtId="0" fontId="8" fillId="0" borderId="0" xfId="0" applyFont="1" applyAlignment="1"/>
    <xf numFmtId="0" fontId="8" fillId="0" borderId="0" xfId="0" applyFont="1" applyFill="1" applyAlignment="1">
      <alignment wrapText="1"/>
    </xf>
    <xf numFmtId="0" fontId="8" fillId="0" borderId="0" xfId="0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 applyProtection="1">
      <alignment vertical="center" wrapText="1"/>
      <protection hidden="1"/>
    </xf>
    <xf numFmtId="164" fontId="8" fillId="2" borderId="0" xfId="2" applyNumberFormat="1" applyFont="1" applyFill="1" applyBorder="1" applyAlignment="1" applyProtection="1">
      <alignment vertical="center" wrapText="1"/>
      <protection hidden="1"/>
    </xf>
    <xf numFmtId="0" fontId="7" fillId="0" borderId="0" xfId="7" applyFont="1" applyFill="1" applyAlignment="1">
      <alignment horizontal="center" wrapText="1"/>
    </xf>
    <xf numFmtId="49" fontId="13" fillId="0" borderId="0" xfId="0" applyNumberFormat="1" applyFont="1" applyAlignment="1"/>
    <xf numFmtId="0" fontId="22" fillId="0" borderId="0" xfId="0" applyFont="1"/>
    <xf numFmtId="49" fontId="13" fillId="0" borderId="0" xfId="0" applyNumberFormat="1" applyFont="1" applyAlignment="1">
      <alignment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9" fontId="13" fillId="0" borderId="0" xfId="0" applyNumberFormat="1" applyFont="1" applyAlignment="1">
      <alignment horizontal="left" wrapText="1" indent="13"/>
    </xf>
    <xf numFmtId="0" fontId="22" fillId="0" borderId="0" xfId="0" applyFont="1" applyAlignment="1">
      <alignment horizontal="left" indent="1"/>
    </xf>
    <xf numFmtId="0" fontId="22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164" fontId="4" fillId="0" borderId="0" xfId="3" applyNumberFormat="1" applyFont="1" applyBorder="1" applyAlignment="1">
      <alignment wrapText="1"/>
    </xf>
    <xf numFmtId="164" fontId="5" fillId="0" borderId="0" xfId="3" applyNumberFormat="1" applyFont="1" applyBorder="1" applyAlignment="1">
      <alignment horizontal="right" wrapText="1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0" fontId="8" fillId="0" borderId="0" xfId="0" applyNumberFormat="1" applyFont="1" applyFill="1" applyAlignment="1">
      <alignment horizontal="right" wrapText="1"/>
    </xf>
    <xf numFmtId="0" fontId="8" fillId="0" borderId="0" xfId="0" applyFont="1" applyFill="1"/>
    <xf numFmtId="0" fontId="7" fillId="0" borderId="0" xfId="7" applyFont="1" applyFill="1" applyAlignment="1">
      <alignment horizontal="left" wrapText="1"/>
    </xf>
    <xf numFmtId="49" fontId="7" fillId="0" borderId="0" xfId="7" applyNumberFormat="1" applyFont="1" applyFill="1" applyAlignment="1">
      <alignment horizontal="center" wrapText="1"/>
    </xf>
    <xf numFmtId="170" fontId="8" fillId="3" borderId="0" xfId="5" applyNumberFormat="1" applyFont="1" applyFill="1" applyAlignment="1">
      <alignment horizontal="right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7" applyNumberFormat="1" applyFont="1" applyFill="1" applyBorder="1" applyAlignment="1">
      <alignment horizontal="center" vertical="center" wrapText="1"/>
    </xf>
    <xf numFmtId="171" fontId="8" fillId="3" borderId="3" xfId="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top" wrapText="1"/>
    </xf>
    <xf numFmtId="49" fontId="7" fillId="0" borderId="1" xfId="7" applyNumberFormat="1" applyFont="1" applyFill="1" applyBorder="1" applyAlignment="1">
      <alignment horizontal="left" vertical="top" wrapText="1"/>
    </xf>
    <xf numFmtId="172" fontId="7" fillId="3" borderId="1" xfId="5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2" fontId="7" fillId="2" borderId="1" xfId="5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172" fontId="7" fillId="3" borderId="1" xfId="5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2" fontId="7" fillId="3" borderId="1" xfId="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2" fontId="7" fillId="3" borderId="1" xfId="0" applyNumberFormat="1" applyFont="1" applyFill="1" applyBorder="1" applyAlignment="1">
      <alignment vertical="center" wrapText="1"/>
    </xf>
    <xf numFmtId="172" fontId="7" fillId="2" borderId="1" xfId="5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168" fontId="7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0" fillId="2" borderId="1" xfId="6" applyFont="1" applyFill="1" applyBorder="1" applyAlignment="1">
      <alignment horizontal="left" vertical="center" wrapText="1"/>
    </xf>
    <xf numFmtId="0" fontId="10" fillId="2" borderId="1" xfId="6" applyFont="1" applyFill="1" applyBorder="1" applyAlignment="1">
      <alignment vertical="center" wrapText="1"/>
    </xf>
    <xf numFmtId="170" fontId="7" fillId="2" borderId="0" xfId="5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righ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1" fillId="0" borderId="2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168" fontId="2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168" fontId="21" fillId="0" borderId="1" xfId="0" applyNumberFormat="1" applyFont="1" applyBorder="1" applyAlignment="1">
      <alignment horizontal="center" vertical="center"/>
    </xf>
    <xf numFmtId="168" fontId="20" fillId="0" borderId="1" xfId="0" applyNumberFormat="1" applyFont="1" applyBorder="1" applyAlignment="1">
      <alignment horizontal="center" vertical="center" wrapText="1"/>
    </xf>
    <xf numFmtId="164" fontId="3" fillId="0" borderId="0" xfId="1" applyNumberFormat="1" applyFont="1" applyBorder="1"/>
    <xf numFmtId="164" fontId="9" fillId="0" borderId="0" xfId="3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72" fontId="0" fillId="0" borderId="1" xfId="0" applyNumberFormat="1" applyBorder="1"/>
    <xf numFmtId="168" fontId="2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25" fillId="0" borderId="0" xfId="0" applyFont="1"/>
    <xf numFmtId="0" fontId="8" fillId="0" borderId="0" xfId="0" applyFont="1" applyFill="1" applyAlignment="1"/>
    <xf numFmtId="0" fontId="8" fillId="0" borderId="0" xfId="0" applyFont="1" applyAlignment="1">
      <alignment horizontal="left" indent="4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 wrapText="1"/>
    </xf>
    <xf numFmtId="168" fontId="8" fillId="3" borderId="1" xfId="0" applyNumberFormat="1" applyFont="1" applyFill="1" applyBorder="1" applyAlignment="1">
      <alignment vertical="center"/>
    </xf>
    <xf numFmtId="168" fontId="7" fillId="3" borderId="1" xfId="0" applyNumberFormat="1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168" fontId="8" fillId="0" borderId="1" xfId="0" applyNumberFormat="1" applyFont="1" applyFill="1" applyBorder="1" applyAlignment="1">
      <alignment vertical="center"/>
    </xf>
    <xf numFmtId="168" fontId="8" fillId="0" borderId="1" xfId="0" applyNumberFormat="1" applyFont="1" applyFill="1" applyBorder="1" applyAlignment="1">
      <alignment vertical="center" wrapText="1"/>
    </xf>
    <xf numFmtId="168" fontId="8" fillId="3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8" applyFont="1" applyBorder="1" applyAlignment="1">
      <alignment wrapText="1"/>
    </xf>
    <xf numFmtId="49" fontId="4" fillId="3" borderId="1" xfId="0" applyNumberFormat="1" applyFont="1" applyFill="1" applyBorder="1" applyAlignment="1">
      <alignment vertical="center" wrapText="1"/>
    </xf>
    <xf numFmtId="168" fontId="8" fillId="0" borderId="1" xfId="0" applyNumberFormat="1" applyFont="1" applyFill="1" applyBorder="1" applyAlignment="1">
      <alignment horizontal="right" vertical="top"/>
    </xf>
    <xf numFmtId="49" fontId="5" fillId="3" borderId="1" xfId="0" applyNumberFormat="1" applyFont="1" applyFill="1" applyBorder="1" applyAlignment="1">
      <alignment vertical="center" wrapText="1"/>
    </xf>
    <xf numFmtId="168" fontId="8" fillId="3" borderId="1" xfId="0" applyNumberFormat="1" applyFont="1" applyFill="1" applyBorder="1" applyAlignment="1">
      <alignment horizontal="right" vertical="top"/>
    </xf>
    <xf numFmtId="168" fontId="8" fillId="3" borderId="1" xfId="0" applyNumberFormat="1" applyFont="1" applyFill="1" applyBorder="1" applyAlignment="1">
      <alignment horizontal="right" vertical="top" wrapText="1"/>
    </xf>
    <xf numFmtId="168" fontId="8" fillId="2" borderId="1" xfId="0" applyNumberFormat="1" applyFont="1" applyFill="1" applyBorder="1" applyAlignment="1">
      <alignment horizontal="right" vertical="top"/>
    </xf>
    <xf numFmtId="168" fontId="8" fillId="0" borderId="1" xfId="0" applyNumberFormat="1" applyFont="1" applyBorder="1" applyAlignment="1">
      <alignment horizontal="right" vertical="top"/>
    </xf>
    <xf numFmtId="168" fontId="8" fillId="3" borderId="1" xfId="0" applyNumberFormat="1" applyFont="1" applyFill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168" fontId="8" fillId="2" borderId="1" xfId="0" applyNumberFormat="1" applyFont="1" applyFill="1" applyBorder="1" applyAlignment="1">
      <alignment horizontal="right" vertical="center"/>
    </xf>
    <xf numFmtId="168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wrapText="1"/>
    </xf>
    <xf numFmtId="168" fontId="7" fillId="0" borderId="1" xfId="0" applyNumberFormat="1" applyFont="1" applyFill="1" applyBorder="1" applyAlignment="1">
      <alignment horizontal="center" vertical="center"/>
    </xf>
    <xf numFmtId="168" fontId="25" fillId="0" borderId="0" xfId="0" applyNumberFormat="1" applyFont="1"/>
    <xf numFmtId="168" fontId="7" fillId="3" borderId="1" xfId="0" applyNumberFormat="1" applyFont="1" applyFill="1" applyBorder="1" applyAlignment="1">
      <alignment horizontal="right" vertical="center" wrapText="1"/>
    </xf>
    <xf numFmtId="168" fontId="8" fillId="2" borderId="1" xfId="0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right"/>
    </xf>
    <xf numFmtId="0" fontId="20" fillId="0" borderId="1" xfId="8" applyFont="1" applyBorder="1" applyAlignment="1">
      <alignment wrapText="1"/>
    </xf>
    <xf numFmtId="0" fontId="30" fillId="0" borderId="0" xfId="0" applyFont="1" applyAlignment="1">
      <alignment horizontal="center" vertical="center"/>
    </xf>
    <xf numFmtId="0" fontId="5" fillId="0" borderId="0" xfId="4" applyNumberFormat="1" applyFont="1" applyFill="1" applyBorder="1" applyAlignment="1">
      <alignment vertical="center" wrapText="1"/>
    </xf>
    <xf numFmtId="173" fontId="0" fillId="0" borderId="1" xfId="0" applyNumberFormat="1" applyBorder="1" applyAlignment="1">
      <alignment horizontal="right" vertical="center"/>
    </xf>
    <xf numFmtId="0" fontId="5" fillId="0" borderId="0" xfId="4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169" fontId="3" fillId="0" borderId="9" xfId="0" applyNumberFormat="1" applyFont="1" applyBorder="1" applyAlignment="1">
      <alignment horizontal="center"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9" fontId="3" fillId="0" borderId="11" xfId="0" applyNumberFormat="1" applyFont="1" applyBorder="1" applyAlignment="1">
      <alignment horizontal="center" vertical="center" wrapText="1"/>
    </xf>
    <xf numFmtId="169" fontId="3" fillId="0" borderId="12" xfId="0" applyNumberFormat="1" applyFont="1" applyBorder="1" applyAlignment="1">
      <alignment horizontal="center" vertical="center" wrapText="1"/>
    </xf>
    <xf numFmtId="169" fontId="3" fillId="0" borderId="13" xfId="0" applyNumberFormat="1" applyFont="1" applyBorder="1" applyAlignment="1">
      <alignment horizontal="left" wrapText="1"/>
    </xf>
    <xf numFmtId="174" fontId="3" fillId="0" borderId="14" xfId="0" applyNumberFormat="1" applyFont="1" applyBorder="1" applyAlignment="1">
      <alignment horizontal="right" wrapText="1"/>
    </xf>
    <xf numFmtId="169" fontId="3" fillId="0" borderId="13" xfId="0" applyNumberFormat="1" applyFont="1" applyBorder="1" applyAlignment="1">
      <alignment horizontal="center" wrapText="1"/>
    </xf>
    <xf numFmtId="169" fontId="3" fillId="0" borderId="13" xfId="0" applyNumberFormat="1" applyFont="1" applyBorder="1" applyAlignment="1">
      <alignment horizontal="right" wrapText="1"/>
    </xf>
    <xf numFmtId="169" fontId="3" fillId="0" borderId="14" xfId="0" applyNumberFormat="1" applyFont="1" applyBorder="1" applyAlignment="1">
      <alignment horizontal="right" wrapText="1"/>
    </xf>
    <xf numFmtId="169" fontId="3" fillId="0" borderId="15" xfId="0" applyNumberFormat="1" applyFont="1" applyBorder="1" applyAlignment="1">
      <alignment horizontal="left" wrapText="1"/>
    </xf>
    <xf numFmtId="169" fontId="3" fillId="0" borderId="16" xfId="0" applyNumberFormat="1" applyFont="1" applyBorder="1" applyAlignment="1">
      <alignment horizontal="right" wrapText="1"/>
    </xf>
    <xf numFmtId="169" fontId="3" fillId="0" borderId="15" xfId="0" applyNumberFormat="1" applyFont="1" applyBorder="1" applyAlignment="1">
      <alignment horizontal="right" wrapText="1"/>
    </xf>
    <xf numFmtId="169" fontId="3" fillId="0" borderId="1" xfId="0" applyNumberFormat="1" applyFont="1" applyBorder="1" applyAlignment="1">
      <alignment horizontal="center" vertical="center" wrapText="1"/>
    </xf>
    <xf numFmtId="2" fontId="2" fillId="0" borderId="0" xfId="3" applyNumberFormat="1" applyFont="1" applyBorder="1" applyAlignment="1">
      <alignment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16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166" fontId="7" fillId="2" borderId="0" xfId="2" applyNumberFormat="1" applyFont="1" applyFill="1" applyBorder="1" applyAlignment="1" applyProtection="1">
      <alignment horizontal="center" vertical="center"/>
      <protection hidden="1"/>
    </xf>
    <xf numFmtId="0" fontId="7" fillId="2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justify" vertical="center" wrapText="1"/>
    </xf>
    <xf numFmtId="175" fontId="8" fillId="0" borderId="0" xfId="10" applyNumberFormat="1" applyFont="1" applyFill="1" applyBorder="1" applyAlignment="1" applyProtection="1">
      <alignment horizontal="center" vertical="center"/>
      <protection hidden="1"/>
    </xf>
    <xf numFmtId="175" fontId="8" fillId="0" borderId="0" xfId="10" applyNumberFormat="1" applyFont="1" applyFill="1" applyBorder="1" applyAlignment="1" applyProtection="1">
      <alignment horizontal="center"/>
      <protection hidden="1"/>
    </xf>
    <xf numFmtId="176" fontId="34" fillId="0" borderId="0" xfId="10" applyNumberFormat="1" applyFont="1" applyFill="1" applyBorder="1" applyAlignment="1" applyProtection="1">
      <alignment horizontal="center"/>
      <protection hidden="1"/>
    </xf>
    <xf numFmtId="175" fontId="8" fillId="0" borderId="0" xfId="2" applyNumberFormat="1" applyFont="1" applyFill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Border="1" applyAlignment="1">
      <alignment horizontal="left" vertical="center" wrapText="1"/>
    </xf>
    <xf numFmtId="175" fontId="8" fillId="0" borderId="0" xfId="2" applyNumberFormat="1" applyFont="1" applyFill="1" applyBorder="1" applyAlignment="1" applyProtection="1">
      <alignment horizontal="center"/>
      <protection hidden="1"/>
    </xf>
    <xf numFmtId="0" fontId="23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3" fillId="2" borderId="0" xfId="6" applyFont="1" applyFill="1" applyBorder="1" applyAlignment="1">
      <alignment vertical="center" wrapText="1"/>
    </xf>
    <xf numFmtId="49" fontId="5" fillId="2" borderId="0" xfId="3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wrapText="1"/>
    </xf>
    <xf numFmtId="0" fontId="7" fillId="0" borderId="0" xfId="3" applyFont="1" applyBorder="1" applyAlignment="1">
      <alignment wrapText="1"/>
    </xf>
    <xf numFmtId="165" fontId="13" fillId="0" borderId="0" xfId="2" applyNumberFormat="1" applyFont="1" applyFill="1" applyBorder="1" applyAlignment="1" applyProtection="1">
      <alignment wrapText="1"/>
      <protection hidden="1"/>
    </xf>
    <xf numFmtId="165" fontId="34" fillId="0" borderId="0" xfId="2" applyNumberFormat="1" applyFont="1" applyFill="1" applyBorder="1" applyAlignment="1" applyProtection="1">
      <alignment wrapText="1"/>
      <protection hidden="1"/>
    </xf>
    <xf numFmtId="0" fontId="13" fillId="0" borderId="0" xfId="0" applyFont="1" applyFill="1" applyBorder="1" applyAlignment="1">
      <alignment vertical="center" wrapText="1"/>
    </xf>
    <xf numFmtId="175" fontId="13" fillId="0" borderId="0" xfId="2" applyNumberFormat="1" applyFont="1" applyFill="1" applyBorder="1" applyAlignment="1" applyProtection="1">
      <alignment horizontal="center" vertical="center"/>
      <protection hidden="1"/>
    </xf>
    <xf numFmtId="165" fontId="13" fillId="0" borderId="0" xfId="2" applyNumberFormat="1" applyFont="1" applyFill="1" applyBorder="1" applyAlignment="1" applyProtection="1">
      <alignment horizontal="left" wrapText="1"/>
      <protection hidden="1"/>
    </xf>
    <xf numFmtId="165" fontId="34" fillId="0" borderId="0" xfId="2" applyNumberFormat="1" applyFont="1" applyFill="1" applyBorder="1" applyAlignment="1" applyProtection="1">
      <alignment vertical="center" wrapText="1"/>
      <protection hidden="1"/>
    </xf>
    <xf numFmtId="167" fontId="34" fillId="0" borderId="0" xfId="2" applyNumberFormat="1" applyFont="1" applyFill="1" applyBorder="1" applyAlignment="1" applyProtection="1">
      <alignment wrapText="1"/>
      <protection hidden="1"/>
    </xf>
    <xf numFmtId="0" fontId="8" fillId="0" borderId="0" xfId="3" applyFont="1" applyBorder="1" applyAlignment="1">
      <alignment wrapText="1"/>
    </xf>
    <xf numFmtId="0" fontId="8" fillId="2" borderId="0" xfId="0" applyNumberFormat="1" applyFont="1" applyFill="1" applyBorder="1" applyAlignment="1">
      <alignment horizontal="center" vertical="center" wrapText="1"/>
    </xf>
    <xf numFmtId="49" fontId="8" fillId="2" borderId="0" xfId="3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0" fontId="8" fillId="0" borderId="0" xfId="3" applyFont="1" applyBorder="1" applyAlignment="1">
      <alignment vertical="center" wrapText="1"/>
    </xf>
    <xf numFmtId="0" fontId="2" fillId="0" borderId="0" xfId="3" applyFont="1" applyAlignment="1">
      <alignment wrapText="1"/>
    </xf>
    <xf numFmtId="0" fontId="1" fillId="0" borderId="0" xfId="4" applyFont="1"/>
    <xf numFmtId="0" fontId="1" fillId="0" borderId="0" xfId="3" applyFont="1" applyAlignment="1">
      <alignment horizontal="right" wrapText="1"/>
    </xf>
    <xf numFmtId="0" fontId="6" fillId="0" borderId="0" xfId="0" applyFont="1"/>
    <xf numFmtId="0" fontId="35" fillId="0" borderId="0" xfId="0" applyFont="1" applyBorder="1"/>
    <xf numFmtId="164" fontId="2" fillId="0" borderId="0" xfId="3" applyNumberFormat="1" applyFont="1" applyAlignment="1">
      <alignment wrapText="1"/>
    </xf>
    <xf numFmtId="169" fontId="4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9" fillId="0" borderId="0" xfId="3" applyFont="1" applyAlignment="1">
      <alignment wrapText="1"/>
    </xf>
    <xf numFmtId="164" fontId="9" fillId="0" borderId="0" xfId="3" applyNumberFormat="1" applyFont="1" applyAlignment="1">
      <alignment wrapText="1"/>
    </xf>
    <xf numFmtId="0" fontId="36" fillId="0" borderId="0" xfId="3" applyFont="1" applyAlignment="1">
      <alignment wrapText="1"/>
    </xf>
    <xf numFmtId="175" fontId="13" fillId="0" borderId="0" xfId="2" applyNumberFormat="1" applyFont="1" applyFill="1" applyBorder="1" applyAlignment="1" applyProtection="1">
      <alignment horizontal="center"/>
      <protection hidden="1"/>
    </xf>
    <xf numFmtId="0" fontId="3" fillId="0" borderId="0" xfId="1" applyFont="1"/>
    <xf numFmtId="49" fontId="4" fillId="0" borderId="0" xfId="3" applyNumberFormat="1" applyFont="1" applyBorder="1" applyAlignment="1">
      <alignment horizontal="center" vertical="center" wrapText="1"/>
    </xf>
    <xf numFmtId="166" fontId="8" fillId="0" borderId="0" xfId="2" applyNumberFormat="1" applyFont="1" applyFill="1" applyBorder="1" applyAlignment="1" applyProtection="1">
      <alignment horizontal="center" vertical="center"/>
      <protection hidden="1"/>
    </xf>
    <xf numFmtId="0" fontId="2" fillId="2" borderId="0" xfId="3" applyFont="1" applyFill="1" applyAlignment="1">
      <alignment wrapText="1"/>
    </xf>
    <xf numFmtId="2" fontId="5" fillId="0" borderId="0" xfId="3" applyNumberFormat="1" applyFont="1" applyBorder="1" applyAlignment="1">
      <alignment wrapText="1"/>
    </xf>
    <xf numFmtId="164" fontId="1" fillId="0" borderId="0" xfId="3" applyNumberFormat="1" applyFont="1" applyAlignment="1">
      <alignment wrapText="1"/>
    </xf>
    <xf numFmtId="0" fontId="6" fillId="0" borderId="0" xfId="4"/>
    <xf numFmtId="0" fontId="38" fillId="0" borderId="0" xfId="4" applyFont="1" applyAlignment="1">
      <alignment horizontal="center"/>
    </xf>
    <xf numFmtId="0" fontId="41" fillId="0" borderId="0" xfId="4" applyFont="1"/>
    <xf numFmtId="0" fontId="42" fillId="0" borderId="0" xfId="4" applyFont="1" applyAlignment="1">
      <alignment horizontal="right"/>
    </xf>
    <xf numFmtId="0" fontId="42" fillId="0" borderId="1" xfId="4" applyFont="1" applyFill="1" applyBorder="1" applyAlignment="1">
      <alignment horizontal="center" vertical="top" wrapText="1"/>
    </xf>
    <xf numFmtId="4" fontId="42" fillId="0" borderId="1" xfId="4" applyNumberFormat="1" applyFont="1" applyFill="1" applyBorder="1" applyAlignment="1">
      <alignment horizontal="center" vertical="top"/>
    </xf>
    <xf numFmtId="4" fontId="42" fillId="0" borderId="1" xfId="4" applyNumberFormat="1" applyFont="1" applyFill="1" applyBorder="1" applyAlignment="1">
      <alignment horizontal="center" vertical="top" wrapText="1"/>
    </xf>
    <xf numFmtId="0" fontId="44" fillId="0" borderId="1" xfId="4" applyFont="1" applyBorder="1" applyAlignment="1">
      <alignment horizontal="center" vertical="center"/>
    </xf>
    <xf numFmtId="0" fontId="43" fillId="4" borderId="1" xfId="4" applyFont="1" applyFill="1" applyBorder="1" applyAlignment="1">
      <alignment vertical="top" wrapText="1"/>
    </xf>
    <xf numFmtId="164" fontId="43" fillId="4" borderId="1" xfId="4" applyNumberFormat="1" applyFont="1" applyFill="1" applyBorder="1" applyAlignment="1">
      <alignment horizontal="center" vertical="center" wrapText="1"/>
    </xf>
    <xf numFmtId="0" fontId="42" fillId="5" borderId="1" xfId="4" applyFont="1" applyFill="1" applyBorder="1" applyAlignment="1">
      <alignment vertical="top" wrapText="1"/>
    </xf>
    <xf numFmtId="164" fontId="42" fillId="5" borderId="1" xfId="4" applyNumberFormat="1" applyFont="1" applyFill="1" applyBorder="1" applyAlignment="1">
      <alignment horizontal="center" vertical="center" wrapText="1"/>
    </xf>
    <xf numFmtId="0" fontId="42" fillId="6" borderId="1" xfId="4" applyFont="1" applyFill="1" applyBorder="1" applyAlignment="1">
      <alignment vertical="top" wrapText="1"/>
    </xf>
    <xf numFmtId="164" fontId="42" fillId="6" borderId="1" xfId="4" applyNumberFormat="1" applyFont="1" applyFill="1" applyBorder="1" applyAlignment="1">
      <alignment horizontal="center" vertical="center" wrapText="1"/>
    </xf>
    <xf numFmtId="0" fontId="37" fillId="0" borderId="0" xfId="4" applyFont="1"/>
    <xf numFmtId="0" fontId="42" fillId="0" borderId="1" xfId="4" applyFont="1" applyBorder="1" applyAlignment="1">
      <alignment vertical="top" wrapText="1"/>
    </xf>
    <xf numFmtId="164" fontId="42" fillId="0" borderId="1" xfId="4" applyNumberFormat="1" applyFont="1" applyBorder="1" applyAlignment="1">
      <alignment horizontal="center" vertical="center" wrapText="1"/>
    </xf>
    <xf numFmtId="164" fontId="42" fillId="0" borderId="1" xfId="4" applyNumberFormat="1" applyFont="1" applyFill="1" applyBorder="1" applyAlignment="1">
      <alignment horizontal="center" vertical="center" wrapText="1"/>
    </xf>
    <xf numFmtId="164" fontId="42" fillId="2" borderId="1" xfId="4" applyNumberFormat="1" applyFont="1" applyFill="1" applyBorder="1" applyAlignment="1">
      <alignment horizontal="center" vertical="center" wrapText="1"/>
    </xf>
    <xf numFmtId="0" fontId="42" fillId="0" borderId="1" xfId="4" applyFont="1" applyFill="1" applyBorder="1" applyAlignment="1">
      <alignment vertical="top" wrapText="1"/>
    </xf>
    <xf numFmtId="164" fontId="46" fillId="0" borderId="1" xfId="11" applyNumberFormat="1" applyFont="1" applyFill="1" applyBorder="1" applyAlignment="1">
      <alignment horizontal="center" vertical="center" wrapText="1"/>
    </xf>
    <xf numFmtId="0" fontId="43" fillId="0" borderId="1" xfId="4" applyFont="1" applyFill="1" applyBorder="1" applyAlignment="1">
      <alignment wrapText="1"/>
    </xf>
    <xf numFmtId="164" fontId="43" fillId="0" borderId="1" xfId="4" applyNumberFormat="1" applyFont="1" applyFill="1" applyBorder="1" applyAlignment="1">
      <alignment horizontal="center" wrapText="1"/>
    </xf>
    <xf numFmtId="164" fontId="43" fillId="0" borderId="1" xfId="4" applyNumberFormat="1" applyFont="1" applyFill="1" applyBorder="1" applyAlignment="1">
      <alignment horizontal="center"/>
    </xf>
    <xf numFmtId="0" fontId="42" fillId="0" borderId="1" xfId="4" applyFont="1" applyFill="1" applyBorder="1" applyAlignment="1">
      <alignment wrapText="1"/>
    </xf>
    <xf numFmtId="164" fontId="42" fillId="0" borderId="1" xfId="4" applyNumberFormat="1" applyFont="1" applyFill="1" applyBorder="1" applyAlignment="1">
      <alignment horizontal="center" wrapText="1"/>
    </xf>
    <xf numFmtId="164" fontId="42" fillId="0" borderId="1" xfId="4" applyNumberFormat="1" applyFont="1" applyFill="1" applyBorder="1" applyAlignment="1">
      <alignment horizontal="center"/>
    </xf>
    <xf numFmtId="0" fontId="47" fillId="0" borderId="1" xfId="4" applyFont="1" applyFill="1" applyBorder="1" applyAlignment="1">
      <alignment wrapText="1"/>
    </xf>
    <xf numFmtId="164" fontId="46" fillId="0" borderId="1" xfId="11" applyNumberFormat="1" applyFont="1" applyFill="1" applyBorder="1" applyAlignment="1">
      <alignment horizontal="center" wrapText="1"/>
    </xf>
    <xf numFmtId="164" fontId="44" fillId="0" borderId="1" xfId="4" applyNumberFormat="1" applyFont="1" applyFill="1" applyBorder="1" applyAlignment="1">
      <alignment horizontal="center"/>
    </xf>
    <xf numFmtId="0" fontId="46" fillId="0" borderId="1" xfId="4" applyFont="1" applyFill="1" applyBorder="1" applyAlignment="1">
      <alignment wrapText="1"/>
    </xf>
    <xf numFmtId="177" fontId="46" fillId="0" borderId="1" xfId="11" applyNumberFormat="1" applyFont="1" applyFill="1" applyBorder="1" applyAlignment="1">
      <alignment horizontal="center" wrapText="1"/>
    </xf>
    <xf numFmtId="168" fontId="42" fillId="0" borderId="1" xfId="4" applyNumberFormat="1" applyFont="1" applyFill="1" applyBorder="1" applyAlignment="1">
      <alignment horizontal="center"/>
    </xf>
    <xf numFmtId="178" fontId="46" fillId="0" borderId="1" xfId="11" applyNumberFormat="1" applyFont="1" applyFill="1" applyBorder="1" applyAlignment="1">
      <alignment horizontal="center" wrapText="1"/>
    </xf>
    <xf numFmtId="0" fontId="44" fillId="0" borderId="1" xfId="4" applyFont="1" applyFill="1" applyBorder="1" applyAlignment="1">
      <alignment horizontal="center"/>
    </xf>
    <xf numFmtId="1" fontId="44" fillId="0" borderId="1" xfId="4" applyNumberFormat="1" applyFont="1" applyBorder="1" applyAlignment="1">
      <alignment horizontal="center" vertical="center"/>
    </xf>
    <xf numFmtId="0" fontId="43" fillId="6" borderId="1" xfId="4" applyFont="1" applyFill="1" applyBorder="1" applyAlignment="1">
      <alignment wrapText="1"/>
    </xf>
    <xf numFmtId="164" fontId="43" fillId="6" borderId="1" xfId="4" applyNumberFormat="1" applyFont="1" applyFill="1" applyBorder="1" applyAlignment="1">
      <alignment horizontal="center" vertical="center"/>
    </xf>
    <xf numFmtId="49" fontId="44" fillId="0" borderId="1" xfId="4" applyNumberFormat="1" applyFont="1" applyBorder="1" applyAlignment="1">
      <alignment horizontal="center" vertical="center"/>
    </xf>
    <xf numFmtId="0" fontId="48" fillId="0" borderId="1" xfId="4" applyFont="1" applyBorder="1" applyAlignment="1">
      <alignment wrapText="1"/>
    </xf>
    <xf numFmtId="164" fontId="49" fillId="0" borderId="1" xfId="4" applyNumberFormat="1" applyFont="1" applyBorder="1" applyAlignment="1">
      <alignment horizontal="center" vertical="center"/>
    </xf>
    <xf numFmtId="164" fontId="48" fillId="0" borderId="1" xfId="4" applyNumberFormat="1" applyFont="1" applyFill="1" applyBorder="1" applyAlignment="1">
      <alignment horizontal="center" vertical="center"/>
    </xf>
    <xf numFmtId="164" fontId="48" fillId="0" borderId="1" xfId="4" applyNumberFormat="1" applyFont="1" applyBorder="1" applyAlignment="1">
      <alignment horizontal="center" vertical="center"/>
    </xf>
    <xf numFmtId="0" fontId="50" fillId="0" borderId="0" xfId="4" applyFont="1"/>
    <xf numFmtId="0" fontId="42" fillId="0" borderId="1" xfId="4" applyFont="1" applyBorder="1" applyAlignment="1">
      <alignment wrapText="1"/>
    </xf>
    <xf numFmtId="0" fontId="44" fillId="0" borderId="0" xfId="4" applyFont="1"/>
    <xf numFmtId="0" fontId="51" fillId="0" borderId="0" xfId="0" applyFont="1"/>
    <xf numFmtId="0" fontId="48" fillId="0" borderId="1" xfId="4" applyNumberFormat="1" applyFont="1" applyBorder="1" applyAlignment="1">
      <alignment wrapText="1"/>
    </xf>
    <xf numFmtId="164" fontId="43" fillId="0" borderId="1" xfId="4" applyNumberFormat="1" applyFont="1" applyFill="1" applyBorder="1" applyAlignment="1">
      <alignment horizontal="center" vertical="center"/>
    </xf>
    <xf numFmtId="0" fontId="43" fillId="5" borderId="1" xfId="4" applyFont="1" applyFill="1" applyBorder="1" applyAlignment="1">
      <alignment wrapText="1"/>
    </xf>
    <xf numFmtId="164" fontId="43" fillId="5" borderId="1" xfId="4" applyNumberFormat="1" applyFont="1" applyFill="1" applyBorder="1" applyAlignment="1">
      <alignment horizontal="center" vertical="center"/>
    </xf>
    <xf numFmtId="0" fontId="43" fillId="4" borderId="1" xfId="4" applyFont="1" applyFill="1" applyBorder="1" applyAlignment="1">
      <alignment wrapText="1"/>
    </xf>
    <xf numFmtId="164" fontId="43" fillId="4" borderId="1" xfId="4" applyNumberFormat="1" applyFont="1" applyFill="1" applyBorder="1" applyAlignment="1">
      <alignment horizontal="center" vertical="center"/>
    </xf>
    <xf numFmtId="49" fontId="39" fillId="0" borderId="1" xfId="4" applyNumberFormat="1" applyFont="1" applyBorder="1" applyAlignment="1">
      <alignment horizontal="center" vertical="center"/>
    </xf>
    <xf numFmtId="0" fontId="49" fillId="0" borderId="1" xfId="4" applyNumberFormat="1" applyFont="1" applyBorder="1" applyAlignment="1">
      <alignment wrapText="1"/>
    </xf>
    <xf numFmtId="0" fontId="38" fillId="0" borderId="0" xfId="4" applyFont="1" applyFill="1" applyBorder="1" applyAlignment="1">
      <alignment wrapText="1"/>
    </xf>
    <xf numFmtId="164" fontId="52" fillId="0" borderId="0" xfId="4" applyNumberFormat="1" applyFont="1" applyBorder="1"/>
    <xf numFmtId="0" fontId="53" fillId="0" borderId="0" xfId="4" applyFont="1"/>
    <xf numFmtId="0" fontId="54" fillId="0" borderId="0" xfId="0" applyFont="1" applyFill="1" applyBorder="1"/>
    <xf numFmtId="0" fontId="55" fillId="0" borderId="0" xfId="0" applyFont="1" applyFill="1" applyBorder="1" applyAlignment="1">
      <alignment horizontal="right" vertical="center"/>
    </xf>
    <xf numFmtId="0" fontId="55" fillId="0" borderId="0" xfId="0" applyFont="1" applyFill="1" applyBorder="1" applyAlignment="1"/>
    <xf numFmtId="0" fontId="54" fillId="0" borderId="0" xfId="0" applyFont="1" applyFill="1" applyBorder="1" applyAlignment="1">
      <alignment horizontal="right" vertical="center"/>
    </xf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vertical="center" wrapText="1"/>
    </xf>
    <xf numFmtId="0" fontId="55" fillId="0" borderId="1" xfId="0" applyFont="1" applyFill="1" applyBorder="1" applyAlignment="1">
      <alignment horizontal="center" wrapText="1"/>
    </xf>
    <xf numFmtId="0" fontId="55" fillId="0" borderId="1" xfId="0" applyFont="1" applyFill="1" applyBorder="1" applyAlignment="1">
      <alignment wrapText="1"/>
    </xf>
    <xf numFmtId="0" fontId="55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vertical="top" wrapText="1"/>
    </xf>
    <xf numFmtId="0" fontId="55" fillId="0" borderId="1" xfId="0" applyFont="1" applyFill="1" applyBorder="1" applyAlignment="1">
      <alignment vertical="center" wrapText="1"/>
    </xf>
    <xf numFmtId="168" fontId="56" fillId="0" borderId="1" xfId="0" applyNumberFormat="1" applyFont="1" applyFill="1" applyBorder="1" applyAlignment="1">
      <alignment horizontal="center" vertical="center" wrapText="1"/>
    </xf>
    <xf numFmtId="168" fontId="55" fillId="0" borderId="1" xfId="0" applyNumberFormat="1" applyFont="1" applyFill="1" applyBorder="1" applyAlignment="1">
      <alignment vertical="center" wrapText="1"/>
    </xf>
    <xf numFmtId="168" fontId="55" fillId="0" borderId="1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wrapText="1"/>
    </xf>
    <xf numFmtId="0" fontId="54" fillId="0" borderId="0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0" xfId="0" applyFont="1"/>
    <xf numFmtId="0" fontId="5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8" fillId="0" borderId="0" xfId="2" applyFont="1" applyAlignment="1" applyProtection="1">
      <alignment horizontal="center" vertical="center" wrapText="1"/>
      <protection hidden="1"/>
    </xf>
    <xf numFmtId="0" fontId="20" fillId="0" borderId="0" xfId="2" applyFont="1" applyAlignment="1" applyProtection="1">
      <alignment vertical="center" wrapText="1"/>
      <protection hidden="1"/>
    </xf>
    <xf numFmtId="16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13" fillId="0" borderId="0" xfId="0" applyNumberFormat="1" applyFont="1" applyAlignment="1">
      <alignment horizontal="right" wrapText="1"/>
    </xf>
    <xf numFmtId="49" fontId="29" fillId="3" borderId="0" xfId="0" applyNumberFormat="1" applyFont="1" applyFill="1" applyBorder="1" applyAlignment="1">
      <alignment vertical="center" wrapText="1"/>
    </xf>
    <xf numFmtId="0" fontId="30" fillId="0" borderId="0" xfId="13" applyFont="1"/>
    <xf numFmtId="0" fontId="18" fillId="0" borderId="0" xfId="9" applyFont="1" applyFill="1"/>
    <xf numFmtId="0" fontId="30" fillId="0" borderId="0" xfId="0" applyFont="1" applyFill="1" applyAlignment="1">
      <alignment wrapText="1"/>
    </xf>
    <xf numFmtId="180" fontId="30" fillId="0" borderId="0" xfId="9" applyNumberFormat="1" applyFont="1" applyFill="1"/>
    <xf numFmtId="0" fontId="30" fillId="0" borderId="0" xfId="9" applyFont="1" applyFill="1"/>
    <xf numFmtId="0" fontId="8" fillId="0" borderId="0" xfId="9" applyFont="1" applyFill="1"/>
    <xf numFmtId="0" fontId="32" fillId="0" borderId="0" xfId="9" applyFont="1" applyFill="1"/>
    <xf numFmtId="0" fontId="30" fillId="0" borderId="0" xfId="9" applyFont="1" applyFill="1" applyAlignment="1">
      <alignment horizontal="right"/>
    </xf>
    <xf numFmtId="0" fontId="32" fillId="0" borderId="22" xfId="9" applyFont="1" applyFill="1" applyBorder="1" applyAlignment="1">
      <alignment horizontal="center" vertical="center" wrapText="1"/>
    </xf>
    <xf numFmtId="0" fontId="32" fillId="0" borderId="23" xfId="9" applyFont="1" applyFill="1" applyBorder="1" applyAlignment="1">
      <alignment horizontal="center" vertical="center" wrapText="1"/>
    </xf>
    <xf numFmtId="0" fontId="32" fillId="0" borderId="24" xfId="9" applyFont="1" applyFill="1" applyBorder="1" applyAlignment="1">
      <alignment horizontal="center" vertical="center" wrapText="1"/>
    </xf>
    <xf numFmtId="0" fontId="32" fillId="0" borderId="25" xfId="9" applyFont="1" applyFill="1" applyBorder="1" applyAlignment="1">
      <alignment horizontal="center" vertical="center" wrapText="1"/>
    </xf>
    <xf numFmtId="0" fontId="57" fillId="0" borderId="22" xfId="9" applyFont="1" applyFill="1" applyBorder="1" applyAlignment="1">
      <alignment vertical="center"/>
    </xf>
    <xf numFmtId="0" fontId="30" fillId="0" borderId="22" xfId="9" applyFont="1" applyFill="1" applyBorder="1" applyAlignment="1">
      <alignment horizontal="center" vertical="top" wrapText="1"/>
    </xf>
    <xf numFmtId="0" fontId="30" fillId="0" borderId="26" xfId="9" applyFont="1" applyFill="1" applyBorder="1" applyAlignment="1">
      <alignment horizontal="center"/>
    </xf>
    <xf numFmtId="0" fontId="30" fillId="0" borderId="27" xfId="9" applyFont="1" applyFill="1" applyBorder="1" applyAlignment="1">
      <alignment horizontal="center"/>
    </xf>
    <xf numFmtId="0" fontId="30" fillId="0" borderId="28" xfId="9" applyFont="1" applyFill="1" applyBorder="1" applyAlignment="1">
      <alignment horizontal="center"/>
    </xf>
    <xf numFmtId="0" fontId="30" fillId="0" borderId="29" xfId="9" applyFont="1" applyFill="1" applyBorder="1" applyAlignment="1">
      <alignment horizontal="center"/>
    </xf>
    <xf numFmtId="181" fontId="59" fillId="0" borderId="30" xfId="9" applyNumberFormat="1" applyFont="1" applyFill="1" applyBorder="1" applyAlignment="1">
      <alignment horizontal="center" vertical="center"/>
    </xf>
    <xf numFmtId="182" fontId="59" fillId="0" borderId="0" xfId="9" applyNumberFormat="1" applyFont="1" applyFill="1" applyAlignment="1">
      <alignment horizontal="left" vertical="center"/>
    </xf>
    <xf numFmtId="0" fontId="32" fillId="0" borderId="0" xfId="9" applyFont="1" applyFill="1" applyBorder="1" applyAlignment="1">
      <alignment horizontal="center" vertical="center" wrapText="1"/>
    </xf>
    <xf numFmtId="0" fontId="32" fillId="0" borderId="0" xfId="9" applyFont="1" applyFill="1" applyAlignment="1">
      <alignment vertical="top" wrapText="1"/>
    </xf>
    <xf numFmtId="182" fontId="21" fillId="0" borderId="0" xfId="14" applyNumberFormat="1" applyFont="1" applyFill="1" applyBorder="1" applyAlignment="1">
      <alignment horizontal="center" vertical="center" wrapText="1"/>
    </xf>
    <xf numFmtId="0" fontId="59" fillId="0" borderId="0" xfId="9" applyFont="1" applyFill="1"/>
    <xf numFmtId="182" fontId="60" fillId="0" borderId="0" xfId="9" applyNumberFormat="1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center" vertical="center" wrapText="1"/>
    </xf>
    <xf numFmtId="0" fontId="30" fillId="0" borderId="0" xfId="9" applyFont="1" applyFill="1" applyAlignment="1">
      <alignment vertical="top" wrapText="1"/>
    </xf>
    <xf numFmtId="182" fontId="20" fillId="0" borderId="0" xfId="14" applyNumberFormat="1" applyFont="1" applyFill="1" applyBorder="1" applyAlignment="1">
      <alignment horizontal="center" vertical="center" wrapText="1"/>
    </xf>
    <xf numFmtId="0" fontId="29" fillId="0" borderId="0" xfId="9" applyFont="1" applyFill="1" applyBorder="1" applyAlignment="1">
      <alignment vertical="top" wrapText="1"/>
    </xf>
    <xf numFmtId="0" fontId="31" fillId="0" borderId="0" xfId="9" applyFont="1" applyFill="1" applyBorder="1" applyAlignment="1">
      <alignment vertical="top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justify" vertical="center" wrapText="1"/>
    </xf>
    <xf numFmtId="182" fontId="27" fillId="0" borderId="0" xfId="14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182" fontId="28" fillId="0" borderId="0" xfId="14" applyNumberFormat="1" applyFont="1" applyFill="1" applyBorder="1" applyAlignment="1">
      <alignment horizontal="center" vertical="center" wrapText="1"/>
    </xf>
    <xf numFmtId="0" fontId="31" fillId="0" borderId="0" xfId="9" applyFont="1" applyFill="1" applyBorder="1" applyAlignment="1">
      <alignment horizontal="justify" vertical="top"/>
    </xf>
    <xf numFmtId="0" fontId="29" fillId="0" borderId="0" xfId="9" applyFont="1" applyFill="1" applyBorder="1" applyAlignment="1">
      <alignment horizontal="justify" vertical="top"/>
    </xf>
    <xf numFmtId="0" fontId="31" fillId="0" borderId="0" xfId="2" applyFont="1" applyFill="1" applyAlignment="1">
      <alignment horizontal="justify" vertical="top" wrapText="1"/>
    </xf>
    <xf numFmtId="182" fontId="21" fillId="0" borderId="0" xfId="2" applyNumberFormat="1" applyFont="1" applyFill="1" applyBorder="1" applyAlignment="1">
      <alignment horizontal="center" vertical="center"/>
    </xf>
    <xf numFmtId="0" fontId="57" fillId="0" borderId="0" xfId="2" applyFont="1" applyFill="1"/>
    <xf numFmtId="0" fontId="30" fillId="2" borderId="0" xfId="9" applyFont="1" applyFill="1" applyBorder="1" applyAlignment="1">
      <alignment horizontal="center" vertical="center" wrapText="1"/>
    </xf>
    <xf numFmtId="0" fontId="29" fillId="2" borderId="0" xfId="2" applyFont="1" applyFill="1" applyAlignment="1">
      <alignment vertical="top" wrapText="1"/>
    </xf>
    <xf numFmtId="182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/>
    <xf numFmtId="0" fontId="61" fillId="2" borderId="0" xfId="9" applyFont="1" applyFill="1" applyBorder="1" applyAlignment="1">
      <alignment horizontal="center" vertical="center" wrapText="1"/>
    </xf>
    <xf numFmtId="0" fontId="62" fillId="2" borderId="0" xfId="2" applyFont="1" applyFill="1" applyAlignment="1">
      <alignment vertical="top" wrapText="1"/>
    </xf>
    <xf numFmtId="0" fontId="63" fillId="0" borderId="0" xfId="2" applyFont="1" applyFill="1"/>
    <xf numFmtId="0" fontId="29" fillId="2" borderId="0" xfId="2" applyFont="1" applyFill="1" applyAlignment="1">
      <alignment vertical="center" wrapText="1"/>
    </xf>
    <xf numFmtId="0" fontId="30" fillId="2" borderId="0" xfId="9" applyFont="1" applyFill="1" applyBorder="1" applyAlignment="1" applyProtection="1">
      <alignment horizontal="center" vertical="center" wrapText="1"/>
      <protection locked="0"/>
    </xf>
    <xf numFmtId="0" fontId="30" fillId="2" borderId="0" xfId="2" applyFont="1" applyFill="1" applyAlignment="1" applyProtection="1">
      <alignment vertical="top" wrapText="1"/>
      <protection locked="0"/>
    </xf>
    <xf numFmtId="49" fontId="27" fillId="3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/>
    </xf>
    <xf numFmtId="0" fontId="30" fillId="0" borderId="0" xfId="9" applyFont="1" applyFill="1" applyBorder="1" applyAlignment="1" applyProtection="1">
      <alignment horizontal="center" vertical="top" wrapText="1"/>
      <protection locked="0"/>
    </xf>
    <xf numFmtId="0" fontId="30" fillId="0" borderId="0" xfId="2" applyFont="1" applyFill="1" applyAlignment="1" applyProtection="1">
      <alignment vertical="top" wrapText="1"/>
      <protection locked="0"/>
    </xf>
    <xf numFmtId="0" fontId="30" fillId="0" borderId="0" xfId="0" applyFont="1" applyBorder="1" applyAlignment="1">
      <alignment horizontal="justify" vertical="center" wrapText="1"/>
    </xf>
    <xf numFmtId="0" fontId="61" fillId="2" borderId="0" xfId="15" applyFont="1" applyFill="1" applyBorder="1" applyAlignment="1">
      <alignment vertical="top" wrapText="1"/>
    </xf>
    <xf numFmtId="0" fontId="29" fillId="2" borderId="0" xfId="2" applyFont="1" applyFill="1" applyAlignment="1" applyProtection="1">
      <alignment vertical="top" wrapText="1"/>
      <protection locked="0"/>
    </xf>
    <xf numFmtId="0" fontId="31" fillId="0" borderId="0" xfId="9" applyFont="1" applyFill="1" applyBorder="1" applyAlignment="1">
      <alignment horizontal="justify" vertical="top" wrapText="1"/>
    </xf>
    <xf numFmtId="0" fontId="57" fillId="0" borderId="0" xfId="9" applyFont="1" applyFill="1"/>
    <xf numFmtId="0" fontId="18" fillId="0" borderId="0" xfId="9" applyFont="1" applyFill="1" applyAlignment="1">
      <alignment horizontal="justify"/>
    </xf>
    <xf numFmtId="0" fontId="20" fillId="0" borderId="0" xfId="13" applyFont="1" applyBorder="1"/>
    <xf numFmtId="182" fontId="19" fillId="0" borderId="0" xfId="13" applyNumberFormat="1"/>
    <xf numFmtId="0" fontId="19" fillId="0" borderId="0" xfId="13"/>
    <xf numFmtId="0" fontId="20" fillId="0" borderId="0" xfId="13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5" fillId="0" borderId="0" xfId="3" applyFont="1" applyAlignment="1">
      <alignment wrapText="1"/>
    </xf>
    <xf numFmtId="0" fontId="8" fillId="0" borderId="0" xfId="2" applyFont="1" applyBorder="1" applyAlignment="1" applyProtection="1">
      <alignment wrapText="1"/>
      <protection hidden="1"/>
    </xf>
    <xf numFmtId="0" fontId="8" fillId="0" borderId="0" xfId="2" applyFont="1" applyAlignment="1" applyProtection="1">
      <alignment horizontal="center" vertical="center" wrapText="1"/>
      <protection hidden="1"/>
    </xf>
    <xf numFmtId="0" fontId="30" fillId="0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8" fillId="0" borderId="0" xfId="2" applyFont="1" applyAlignment="1" applyProtection="1">
      <alignment horizontal="center" vertical="center" wrapText="1"/>
      <protection hidden="1"/>
    </xf>
    <xf numFmtId="0" fontId="58" fillId="0" borderId="0" xfId="0" applyFont="1" applyAlignment="1">
      <alignment horizontal="center"/>
    </xf>
    <xf numFmtId="169" fontId="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/>
    <xf numFmtId="0" fontId="5" fillId="0" borderId="0" xfId="4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0" fontId="32" fillId="0" borderId="0" xfId="9" applyFont="1" applyFill="1" applyAlignment="1">
      <alignment horizontal="center" vertical="center" wrapText="1"/>
    </xf>
    <xf numFmtId="0" fontId="30" fillId="0" borderId="0" xfId="0" applyFont="1" applyFill="1" applyAlignment="1">
      <alignment horizontal="left" wrapText="1"/>
    </xf>
    <xf numFmtId="0" fontId="5" fillId="0" borderId="0" xfId="4" applyNumberFormat="1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wrapText="1"/>
    </xf>
    <xf numFmtId="0" fontId="8" fillId="0" borderId="0" xfId="2" applyFont="1" applyBorder="1" applyAlignment="1" applyProtection="1">
      <alignment horizontal="center" wrapText="1"/>
      <protection hidden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wrapText="1"/>
    </xf>
    <xf numFmtId="0" fontId="5" fillId="0" borderId="0" xfId="4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0" xfId="7" applyFont="1" applyFill="1" applyAlignment="1">
      <alignment horizontal="center" wrapText="1"/>
    </xf>
    <xf numFmtId="0" fontId="8" fillId="0" borderId="1" xfId="7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 wrapText="1"/>
    </xf>
    <xf numFmtId="49" fontId="8" fillId="0" borderId="3" xfId="7" applyNumberFormat="1" applyFont="1" applyFill="1" applyBorder="1" applyAlignment="1">
      <alignment horizontal="center" vertical="center" wrapText="1"/>
    </xf>
    <xf numFmtId="170" fontId="8" fillId="3" borderId="1" xfId="5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168" fontId="7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168" fontId="8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right"/>
    </xf>
    <xf numFmtId="0" fontId="22" fillId="0" borderId="7" xfId="0" applyFont="1" applyBorder="1" applyAlignment="1">
      <alignment horizontal="right" wrapText="1"/>
    </xf>
    <xf numFmtId="168" fontId="2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3" fillId="0" borderId="1" xfId="4" applyFont="1" applyBorder="1" applyAlignment="1">
      <alignment horizontal="center" vertical="center"/>
    </xf>
    <xf numFmtId="0" fontId="43" fillId="0" borderId="1" xfId="4" applyFont="1" applyFill="1" applyBorder="1" applyAlignment="1">
      <alignment horizontal="center" vertical="center" wrapText="1"/>
    </xf>
    <xf numFmtId="0" fontId="43" fillId="0" borderId="1" xfId="4" applyFont="1" applyFill="1" applyBorder="1" applyAlignment="1">
      <alignment horizontal="center" vertical="top" wrapText="1"/>
    </xf>
    <xf numFmtId="0" fontId="30" fillId="0" borderId="0" xfId="4" applyFont="1" applyAlignment="1">
      <alignment horizontal="center"/>
    </xf>
    <xf numFmtId="0" fontId="40" fillId="0" borderId="0" xfId="4" applyFont="1" applyAlignment="1">
      <alignment horizontal="center" vertical="center" wrapText="1"/>
    </xf>
    <xf numFmtId="0" fontId="43" fillId="0" borderId="4" xfId="4" applyFont="1" applyFill="1" applyBorder="1" applyAlignment="1">
      <alignment horizontal="center" vertical="center" wrapText="1"/>
    </xf>
    <xf numFmtId="0" fontId="43" fillId="0" borderId="6" xfId="4" applyFont="1" applyFill="1" applyBorder="1" applyAlignment="1">
      <alignment horizontal="center" vertical="center" wrapText="1"/>
    </xf>
    <xf numFmtId="0" fontId="43" fillId="0" borderId="5" xfId="4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wrapText="1"/>
    </xf>
    <xf numFmtId="0" fontId="56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wrapText="1"/>
    </xf>
    <xf numFmtId="0" fontId="5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 wrapText="1"/>
    </xf>
    <xf numFmtId="0" fontId="55" fillId="0" borderId="8" xfId="0" applyFont="1" applyFill="1" applyBorder="1" applyAlignment="1">
      <alignment horizontal="center" vertical="center" wrapText="1"/>
    </xf>
    <xf numFmtId="0" fontId="55" fillId="0" borderId="21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left" wrapText="1"/>
    </xf>
    <xf numFmtId="0" fontId="55" fillId="0" borderId="19" xfId="0" applyFont="1" applyFill="1" applyBorder="1" applyAlignment="1">
      <alignment horizontal="left" wrapText="1"/>
    </xf>
    <xf numFmtId="0" fontId="55" fillId="0" borderId="8" xfId="0" applyFont="1" applyFill="1" applyBorder="1" applyAlignment="1">
      <alignment horizontal="left" wrapText="1"/>
    </xf>
    <xf numFmtId="0" fontId="55" fillId="0" borderId="21" xfId="0" applyFont="1" applyFill="1" applyBorder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4" xfId="8" applyNumberFormat="1" applyFont="1" applyBorder="1" applyAlignment="1">
      <alignment horizontal="center" vertical="center"/>
    </xf>
    <xf numFmtId="49" fontId="8" fillId="0" borderId="6" xfId="8" applyNumberFormat="1" applyFont="1" applyBorder="1" applyAlignment="1">
      <alignment horizontal="center" vertical="center"/>
    </xf>
    <xf numFmtId="49" fontId="8" fillId="0" borderId="5" xfId="8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8" fillId="0" borderId="1" xfId="8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/>
    <xf numFmtId="0" fontId="13" fillId="0" borderId="0" xfId="0" applyNumberFormat="1" applyFont="1" applyAlignment="1">
      <alignment horizontal="center" wrapText="1"/>
    </xf>
  </cellXfs>
  <cellStyles count="16">
    <cellStyle name="Обычный" xfId="0" builtinId="0"/>
    <cellStyle name="Обычный 2" xfId="2"/>
    <cellStyle name="Обычный 2 2" xfId="10"/>
    <cellStyle name="Обычный 3" xfId="1"/>
    <cellStyle name="Обычный 4" xfId="3"/>
    <cellStyle name="Обычный 5" xfId="4"/>
    <cellStyle name="Обычный 5 6" xfId="12"/>
    <cellStyle name="Обычный 6" xfId="6"/>
    <cellStyle name="Обычный_Взаимные Москв 9мес2006" xfId="15"/>
    <cellStyle name="Обычный_Инвестиц.программа на 2005г. для Минфина по новой структк" xfId="7"/>
    <cellStyle name="Обычный_Лист1" xfId="8"/>
    <cellStyle name="Обычный_Поступления в областной бюджет (11мес)" xfId="11"/>
    <cellStyle name="Обычный_прил.финпом" xfId="13"/>
    <cellStyle name="Обычный_республиканский  2005 г" xfId="9"/>
    <cellStyle name="Финансовый" xfId="5" builtinId="3"/>
    <cellStyle name="Финансовый 5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0/&#1048;&#1047;&#1052;&#1045;&#1053;&#1045;&#1053;&#1048;&#1071;/5%20&#1080;&#1079;&#1084;&#1077;&#1085;&#1077;&#1085;&#1080;&#1103;/&#1087;&#1088;&#1080;&#1083;&#1086;&#1078;&#1077;&#1085;&#1080;&#110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вед ОУ"/>
      <sheetName val="увед адм"/>
      <sheetName val="дох"/>
      <sheetName val="Функ 2"/>
      <sheetName val="ведом 3"/>
      <sheetName val="прог расх 4"/>
      <sheetName val="пр5"/>
      <sheetName val="пр6"/>
      <sheetName val="пр7"/>
    </sheetNames>
    <sheetDataSet>
      <sheetData sheetId="0"/>
      <sheetData sheetId="1"/>
      <sheetData sheetId="2"/>
      <sheetData sheetId="3"/>
      <sheetData sheetId="4">
        <row r="17">
          <cell r="G17">
            <v>9770.0830000000005</v>
          </cell>
        </row>
        <row r="21">
          <cell r="G21">
            <v>9934.2109999999993</v>
          </cell>
        </row>
        <row r="23">
          <cell r="G23">
            <v>18488.068220000001</v>
          </cell>
        </row>
        <row r="25">
          <cell r="G25">
            <v>30368.4804</v>
          </cell>
        </row>
        <row r="27">
          <cell r="G27">
            <v>945.37300000000005</v>
          </cell>
        </row>
        <row r="29">
          <cell r="G29">
            <v>225.74199999999999</v>
          </cell>
        </row>
        <row r="32">
          <cell r="G32">
            <v>529.22900000000004</v>
          </cell>
        </row>
        <row r="34">
          <cell r="G34">
            <v>39.700000000000003</v>
          </cell>
        </row>
        <row r="36">
          <cell r="G36">
            <v>1670</v>
          </cell>
        </row>
        <row r="39">
          <cell r="G39">
            <v>957.59199999999998</v>
          </cell>
        </row>
        <row r="40">
          <cell r="G40">
            <v>1187.40993</v>
          </cell>
        </row>
        <row r="41">
          <cell r="G41">
            <v>24.352</v>
          </cell>
        </row>
        <row r="43">
          <cell r="G43">
            <v>726.7</v>
          </cell>
        </row>
        <row r="46">
          <cell r="G46">
            <v>4268.2</v>
          </cell>
        </row>
        <row r="48">
          <cell r="G48">
            <v>714.77700000000004</v>
          </cell>
        </row>
        <row r="49">
          <cell r="G49">
            <v>25.686</v>
          </cell>
        </row>
        <row r="52">
          <cell r="G52">
            <v>200</v>
          </cell>
        </row>
        <row r="59">
          <cell r="G59">
            <v>369.13</v>
          </cell>
        </row>
        <row r="60">
          <cell r="G60">
            <v>604.59</v>
          </cell>
        </row>
        <row r="61">
          <cell r="G61">
            <v>6.1920000000000002</v>
          </cell>
        </row>
        <row r="64">
          <cell r="G64">
            <v>1432.867</v>
          </cell>
        </row>
        <row r="67">
          <cell r="G67">
            <v>1156.4829999999999</v>
          </cell>
        </row>
        <row r="72">
          <cell r="G72">
            <v>1581.5070000000001</v>
          </cell>
        </row>
        <row r="73">
          <cell r="G73">
            <v>21.398</v>
          </cell>
        </row>
        <row r="76">
          <cell r="G76">
            <v>919.298</v>
          </cell>
        </row>
        <row r="82">
          <cell r="G82">
            <v>98103.395000000004</v>
          </cell>
        </row>
        <row r="86">
          <cell r="G86">
            <v>230556.861</v>
          </cell>
        </row>
        <row r="88">
          <cell r="G88">
            <v>1717.17</v>
          </cell>
        </row>
        <row r="90">
          <cell r="G90">
            <v>6080.6109999999999</v>
          </cell>
        </row>
        <row r="92">
          <cell r="G92">
            <v>3786.4160000000002</v>
          </cell>
        </row>
        <row r="96">
          <cell r="G96">
            <v>26257.455999999998</v>
          </cell>
        </row>
        <row r="100">
          <cell r="G100">
            <v>0</v>
          </cell>
        </row>
        <row r="101">
          <cell r="G101">
            <v>248</v>
          </cell>
        </row>
        <row r="105">
          <cell r="G105">
            <v>24.14</v>
          </cell>
        </row>
        <row r="109">
          <cell r="G109">
            <v>586.95000000000005</v>
          </cell>
        </row>
        <row r="111">
          <cell r="G111">
            <v>97.72</v>
          </cell>
        </row>
        <row r="113">
          <cell r="G113">
            <v>17990.400000000001</v>
          </cell>
        </row>
        <row r="114">
          <cell r="G114">
            <v>1033.9649999999999</v>
          </cell>
        </row>
        <row r="115">
          <cell r="G115">
            <v>36.378999999999998</v>
          </cell>
        </row>
        <row r="117">
          <cell r="G117">
            <v>1244.2180000000001</v>
          </cell>
        </row>
        <row r="123">
          <cell r="G123">
            <v>1122.3000000000002</v>
          </cell>
        </row>
        <row r="126">
          <cell r="G126">
            <v>1651.875</v>
          </cell>
        </row>
        <row r="131">
          <cell r="G131">
            <v>345.53</v>
          </cell>
        </row>
        <row r="134">
          <cell r="G134">
            <v>4233.8230000000003</v>
          </cell>
        </row>
        <row r="136">
          <cell r="G136">
            <v>171.91318999999999</v>
          </cell>
        </row>
        <row r="138">
          <cell r="G138">
            <v>6458</v>
          </cell>
        </row>
        <row r="140">
          <cell r="G140">
            <v>6920</v>
          </cell>
        </row>
        <row r="142">
          <cell r="G142">
            <v>6049.7269999999999</v>
          </cell>
        </row>
        <row r="144">
          <cell r="G144">
            <v>0</v>
          </cell>
          <cell r="H144">
            <v>0</v>
          </cell>
        </row>
        <row r="146">
          <cell r="G146">
            <v>0</v>
          </cell>
        </row>
        <row r="149">
          <cell r="G149">
            <v>19015.298180000002</v>
          </cell>
        </row>
        <row r="151">
          <cell r="G151">
            <v>18334.7</v>
          </cell>
        </row>
        <row r="153">
          <cell r="G153">
            <v>3557.2</v>
          </cell>
        </row>
        <row r="155">
          <cell r="G155">
            <v>5693.4543899999999</v>
          </cell>
        </row>
        <row r="157">
          <cell r="G157">
            <v>25901.881000000001</v>
          </cell>
        </row>
        <row r="159">
          <cell r="G159">
            <v>39161.663999999997</v>
          </cell>
        </row>
        <row r="162">
          <cell r="G162">
            <v>4934.3999999999996</v>
          </cell>
        </row>
        <row r="163">
          <cell r="G163">
            <v>559.60699999999997</v>
          </cell>
        </row>
        <row r="164">
          <cell r="G164">
            <v>22.559000000000001</v>
          </cell>
        </row>
        <row r="166">
          <cell r="G166">
            <v>431.2</v>
          </cell>
        </row>
        <row r="168">
          <cell r="G168">
            <v>15</v>
          </cell>
        </row>
        <row r="174">
          <cell r="G174">
            <v>8240.1139999999996</v>
          </cell>
        </row>
        <row r="175">
          <cell r="G175">
            <v>33.700000000000003</v>
          </cell>
        </row>
        <row r="176">
          <cell r="G176">
            <v>1228.3500000000001</v>
          </cell>
        </row>
        <row r="177">
          <cell r="G177">
            <v>6.8289999999999997</v>
          </cell>
        </row>
        <row r="183">
          <cell r="G183">
            <v>879.6</v>
          </cell>
        </row>
        <row r="187">
          <cell r="G187">
            <v>0</v>
          </cell>
        </row>
        <row r="191">
          <cell r="G191">
            <v>21864.74</v>
          </cell>
        </row>
        <row r="193">
          <cell r="G193">
            <v>383.9</v>
          </cell>
        </row>
        <row r="196">
          <cell r="G196">
            <v>6</v>
          </cell>
        </row>
        <row r="198">
          <cell r="G198">
            <v>881.36906999999997</v>
          </cell>
        </row>
        <row r="203">
          <cell r="G203">
            <v>1471.8009999999999</v>
          </cell>
        </row>
        <row r="207">
          <cell r="G207">
            <v>15855.16611</v>
          </cell>
        </row>
        <row r="208">
          <cell r="G208">
            <v>0</v>
          </cell>
        </row>
        <row r="209">
          <cell r="G209">
            <v>1914.3209999999999</v>
          </cell>
        </row>
        <row r="210">
          <cell r="G210">
            <v>366.60199999999998</v>
          </cell>
        </row>
        <row r="212">
          <cell r="G212">
            <v>22.4</v>
          </cell>
        </row>
        <row r="215">
          <cell r="G215">
            <v>1137.556</v>
          </cell>
        </row>
        <row r="219">
          <cell r="G219">
            <v>1</v>
          </cell>
        </row>
        <row r="221">
          <cell r="G221">
            <v>433.3</v>
          </cell>
        </row>
        <row r="222">
          <cell r="G222">
            <v>121.8</v>
          </cell>
        </row>
        <row r="227">
          <cell r="G227">
            <v>359.4</v>
          </cell>
        </row>
        <row r="228">
          <cell r="G228">
            <v>54.8</v>
          </cell>
        </row>
        <row r="231">
          <cell r="G231">
            <v>1455.9</v>
          </cell>
        </row>
        <row r="232">
          <cell r="G232">
            <v>57.7</v>
          </cell>
        </row>
        <row r="235">
          <cell r="G235">
            <v>40</v>
          </cell>
        </row>
        <row r="239">
          <cell r="G239">
            <v>39.900000000000006</v>
          </cell>
        </row>
        <row r="241">
          <cell r="G241">
            <v>112</v>
          </cell>
        </row>
        <row r="245">
          <cell r="G245">
            <v>101.5</v>
          </cell>
        </row>
        <row r="247">
          <cell r="G247">
            <v>1400</v>
          </cell>
        </row>
        <row r="249">
          <cell r="G249">
            <v>8725.8009999999995</v>
          </cell>
        </row>
        <row r="252">
          <cell r="G252">
            <v>43</v>
          </cell>
        </row>
        <row r="254">
          <cell r="G254">
            <v>256.06</v>
          </cell>
        </row>
        <row r="256">
          <cell r="G256">
            <v>94.8</v>
          </cell>
        </row>
        <row r="260">
          <cell r="G260">
            <v>4254.2</v>
          </cell>
        </row>
        <row r="263">
          <cell r="G263">
            <v>1377.8109999999999</v>
          </cell>
        </row>
        <row r="266">
          <cell r="G266">
            <v>532.91999999999996</v>
          </cell>
        </row>
        <row r="268">
          <cell r="G268">
            <v>997.5</v>
          </cell>
        </row>
        <row r="270">
          <cell r="G270">
            <v>8571.4290000000001</v>
          </cell>
        </row>
        <row r="273">
          <cell r="G273">
            <v>4304.9409999999998</v>
          </cell>
        </row>
        <row r="276">
          <cell r="G276">
            <v>383.78499999999997</v>
          </cell>
        </row>
        <row r="277">
          <cell r="G277">
            <v>81.477999999999994</v>
          </cell>
        </row>
        <row r="280">
          <cell r="G280">
            <v>43</v>
          </cell>
        </row>
        <row r="282">
          <cell r="G282">
            <v>40.33</v>
          </cell>
        </row>
        <row r="285">
          <cell r="G285">
            <v>289.10000000000002</v>
          </cell>
        </row>
        <row r="290">
          <cell r="G290">
            <v>25</v>
          </cell>
        </row>
        <row r="293">
          <cell r="G293">
            <v>495.149</v>
          </cell>
        </row>
        <row r="294">
          <cell r="G294">
            <v>48.3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workbookViewId="0">
      <selection activeCell="D9" sqref="D9:E9"/>
    </sheetView>
  </sheetViews>
  <sheetFormatPr defaultRowHeight="15" x14ac:dyDescent="0.25"/>
  <cols>
    <col min="1" max="1" width="30.140625" customWidth="1"/>
    <col min="2" max="2" width="6.42578125" customWidth="1"/>
    <col min="3" max="3" width="22.140625" customWidth="1"/>
    <col min="4" max="4" width="0" hidden="1" customWidth="1"/>
    <col min="5" max="6" width="17.5703125" customWidth="1"/>
    <col min="257" max="257" width="30.140625" customWidth="1"/>
    <col min="258" max="258" width="7.42578125" customWidth="1"/>
    <col min="259" max="259" width="22.140625" customWidth="1"/>
    <col min="260" max="260" width="0" hidden="1" customWidth="1"/>
    <col min="261" max="262" width="17.5703125" customWidth="1"/>
    <col min="513" max="513" width="30.140625" customWidth="1"/>
    <col min="514" max="514" width="7.42578125" customWidth="1"/>
    <col min="515" max="515" width="22.140625" customWidth="1"/>
    <col min="516" max="516" width="0" hidden="1" customWidth="1"/>
    <col min="517" max="518" width="17.5703125" customWidth="1"/>
    <col min="769" max="769" width="30.140625" customWidth="1"/>
    <col min="770" max="770" width="7.42578125" customWidth="1"/>
    <col min="771" max="771" width="22.140625" customWidth="1"/>
    <col min="772" max="772" width="0" hidden="1" customWidth="1"/>
    <col min="773" max="774" width="17.5703125" customWidth="1"/>
    <col min="1025" max="1025" width="30.140625" customWidth="1"/>
    <col min="1026" max="1026" width="7.42578125" customWidth="1"/>
    <col min="1027" max="1027" width="22.140625" customWidth="1"/>
    <col min="1028" max="1028" width="0" hidden="1" customWidth="1"/>
    <col min="1029" max="1030" width="17.5703125" customWidth="1"/>
    <col min="1281" max="1281" width="30.140625" customWidth="1"/>
    <col min="1282" max="1282" width="7.42578125" customWidth="1"/>
    <col min="1283" max="1283" width="22.140625" customWidth="1"/>
    <col min="1284" max="1284" width="0" hidden="1" customWidth="1"/>
    <col min="1285" max="1286" width="17.5703125" customWidth="1"/>
    <col min="1537" max="1537" width="30.140625" customWidth="1"/>
    <col min="1538" max="1538" width="7.42578125" customWidth="1"/>
    <col min="1539" max="1539" width="22.140625" customWidth="1"/>
    <col min="1540" max="1540" width="0" hidden="1" customWidth="1"/>
    <col min="1541" max="1542" width="17.5703125" customWidth="1"/>
    <col min="1793" max="1793" width="30.140625" customWidth="1"/>
    <col min="1794" max="1794" width="7.42578125" customWidth="1"/>
    <col min="1795" max="1795" width="22.140625" customWidth="1"/>
    <col min="1796" max="1796" width="0" hidden="1" customWidth="1"/>
    <col min="1797" max="1798" width="17.5703125" customWidth="1"/>
    <col min="2049" max="2049" width="30.140625" customWidth="1"/>
    <col min="2050" max="2050" width="7.42578125" customWidth="1"/>
    <col min="2051" max="2051" width="22.140625" customWidth="1"/>
    <col min="2052" max="2052" width="0" hidden="1" customWidth="1"/>
    <col min="2053" max="2054" width="17.5703125" customWidth="1"/>
    <col min="2305" max="2305" width="30.140625" customWidth="1"/>
    <col min="2306" max="2306" width="7.42578125" customWidth="1"/>
    <col min="2307" max="2307" width="22.140625" customWidth="1"/>
    <col min="2308" max="2308" width="0" hidden="1" customWidth="1"/>
    <col min="2309" max="2310" width="17.5703125" customWidth="1"/>
    <col min="2561" max="2561" width="30.140625" customWidth="1"/>
    <col min="2562" max="2562" width="7.42578125" customWidth="1"/>
    <col min="2563" max="2563" width="22.140625" customWidth="1"/>
    <col min="2564" max="2564" width="0" hidden="1" customWidth="1"/>
    <col min="2565" max="2566" width="17.5703125" customWidth="1"/>
    <col min="2817" max="2817" width="30.140625" customWidth="1"/>
    <col min="2818" max="2818" width="7.42578125" customWidth="1"/>
    <col min="2819" max="2819" width="22.140625" customWidth="1"/>
    <col min="2820" max="2820" width="0" hidden="1" customWidth="1"/>
    <col min="2821" max="2822" width="17.5703125" customWidth="1"/>
    <col min="3073" max="3073" width="30.140625" customWidth="1"/>
    <col min="3074" max="3074" width="7.42578125" customWidth="1"/>
    <col min="3075" max="3075" width="22.140625" customWidth="1"/>
    <col min="3076" max="3076" width="0" hidden="1" customWidth="1"/>
    <col min="3077" max="3078" width="17.5703125" customWidth="1"/>
    <col min="3329" max="3329" width="30.140625" customWidth="1"/>
    <col min="3330" max="3330" width="7.42578125" customWidth="1"/>
    <col min="3331" max="3331" width="22.140625" customWidth="1"/>
    <col min="3332" max="3332" width="0" hidden="1" customWidth="1"/>
    <col min="3333" max="3334" width="17.5703125" customWidth="1"/>
    <col min="3585" max="3585" width="30.140625" customWidth="1"/>
    <col min="3586" max="3586" width="7.42578125" customWidth="1"/>
    <col min="3587" max="3587" width="22.140625" customWidth="1"/>
    <col min="3588" max="3588" width="0" hidden="1" customWidth="1"/>
    <col min="3589" max="3590" width="17.5703125" customWidth="1"/>
    <col min="3841" max="3841" width="30.140625" customWidth="1"/>
    <col min="3842" max="3842" width="7.42578125" customWidth="1"/>
    <col min="3843" max="3843" width="22.140625" customWidth="1"/>
    <col min="3844" max="3844" width="0" hidden="1" customWidth="1"/>
    <col min="3845" max="3846" width="17.5703125" customWidth="1"/>
    <col min="4097" max="4097" width="30.140625" customWidth="1"/>
    <col min="4098" max="4098" width="7.42578125" customWidth="1"/>
    <col min="4099" max="4099" width="22.140625" customWidth="1"/>
    <col min="4100" max="4100" width="0" hidden="1" customWidth="1"/>
    <col min="4101" max="4102" width="17.5703125" customWidth="1"/>
    <col min="4353" max="4353" width="30.140625" customWidth="1"/>
    <col min="4354" max="4354" width="7.42578125" customWidth="1"/>
    <col min="4355" max="4355" width="22.140625" customWidth="1"/>
    <col min="4356" max="4356" width="0" hidden="1" customWidth="1"/>
    <col min="4357" max="4358" width="17.5703125" customWidth="1"/>
    <col min="4609" max="4609" width="30.140625" customWidth="1"/>
    <col min="4610" max="4610" width="7.42578125" customWidth="1"/>
    <col min="4611" max="4611" width="22.140625" customWidth="1"/>
    <col min="4612" max="4612" width="0" hidden="1" customWidth="1"/>
    <col min="4613" max="4614" width="17.5703125" customWidth="1"/>
    <col min="4865" max="4865" width="30.140625" customWidth="1"/>
    <col min="4866" max="4866" width="7.42578125" customWidth="1"/>
    <col min="4867" max="4867" width="22.140625" customWidth="1"/>
    <col min="4868" max="4868" width="0" hidden="1" customWidth="1"/>
    <col min="4869" max="4870" width="17.5703125" customWidth="1"/>
    <col min="5121" max="5121" width="30.140625" customWidth="1"/>
    <col min="5122" max="5122" width="7.42578125" customWidth="1"/>
    <col min="5123" max="5123" width="22.140625" customWidth="1"/>
    <col min="5124" max="5124" width="0" hidden="1" customWidth="1"/>
    <col min="5125" max="5126" width="17.5703125" customWidth="1"/>
    <col min="5377" max="5377" width="30.140625" customWidth="1"/>
    <col min="5378" max="5378" width="7.42578125" customWidth="1"/>
    <col min="5379" max="5379" width="22.140625" customWidth="1"/>
    <col min="5380" max="5380" width="0" hidden="1" customWidth="1"/>
    <col min="5381" max="5382" width="17.5703125" customWidth="1"/>
    <col min="5633" max="5633" width="30.140625" customWidth="1"/>
    <col min="5634" max="5634" width="7.42578125" customWidth="1"/>
    <col min="5635" max="5635" width="22.140625" customWidth="1"/>
    <col min="5636" max="5636" width="0" hidden="1" customWidth="1"/>
    <col min="5637" max="5638" width="17.5703125" customWidth="1"/>
    <col min="5889" max="5889" width="30.140625" customWidth="1"/>
    <col min="5890" max="5890" width="7.42578125" customWidth="1"/>
    <col min="5891" max="5891" width="22.140625" customWidth="1"/>
    <col min="5892" max="5892" width="0" hidden="1" customWidth="1"/>
    <col min="5893" max="5894" width="17.5703125" customWidth="1"/>
    <col min="6145" max="6145" width="30.140625" customWidth="1"/>
    <col min="6146" max="6146" width="7.42578125" customWidth="1"/>
    <col min="6147" max="6147" width="22.140625" customWidth="1"/>
    <col min="6148" max="6148" width="0" hidden="1" customWidth="1"/>
    <col min="6149" max="6150" width="17.5703125" customWidth="1"/>
    <col min="6401" max="6401" width="30.140625" customWidth="1"/>
    <col min="6402" max="6402" width="7.42578125" customWidth="1"/>
    <col min="6403" max="6403" width="22.140625" customWidth="1"/>
    <col min="6404" max="6404" width="0" hidden="1" customWidth="1"/>
    <col min="6405" max="6406" width="17.5703125" customWidth="1"/>
    <col min="6657" max="6657" width="30.140625" customWidth="1"/>
    <col min="6658" max="6658" width="7.42578125" customWidth="1"/>
    <col min="6659" max="6659" width="22.140625" customWidth="1"/>
    <col min="6660" max="6660" width="0" hidden="1" customWidth="1"/>
    <col min="6661" max="6662" width="17.5703125" customWidth="1"/>
    <col min="6913" max="6913" width="30.140625" customWidth="1"/>
    <col min="6914" max="6914" width="7.42578125" customWidth="1"/>
    <col min="6915" max="6915" width="22.140625" customWidth="1"/>
    <col min="6916" max="6916" width="0" hidden="1" customWidth="1"/>
    <col min="6917" max="6918" width="17.5703125" customWidth="1"/>
    <col min="7169" max="7169" width="30.140625" customWidth="1"/>
    <col min="7170" max="7170" width="7.42578125" customWidth="1"/>
    <col min="7171" max="7171" width="22.140625" customWidth="1"/>
    <col min="7172" max="7172" width="0" hidden="1" customWidth="1"/>
    <col min="7173" max="7174" width="17.5703125" customWidth="1"/>
    <col min="7425" max="7425" width="30.140625" customWidth="1"/>
    <col min="7426" max="7426" width="7.42578125" customWidth="1"/>
    <col min="7427" max="7427" width="22.140625" customWidth="1"/>
    <col min="7428" max="7428" width="0" hidden="1" customWidth="1"/>
    <col min="7429" max="7430" width="17.5703125" customWidth="1"/>
    <col min="7681" max="7681" width="30.140625" customWidth="1"/>
    <col min="7682" max="7682" width="7.42578125" customWidth="1"/>
    <col min="7683" max="7683" width="22.140625" customWidth="1"/>
    <col min="7684" max="7684" width="0" hidden="1" customWidth="1"/>
    <col min="7685" max="7686" width="17.5703125" customWidth="1"/>
    <col min="7937" max="7937" width="30.140625" customWidth="1"/>
    <col min="7938" max="7938" width="7.42578125" customWidth="1"/>
    <col min="7939" max="7939" width="22.140625" customWidth="1"/>
    <col min="7940" max="7940" width="0" hidden="1" customWidth="1"/>
    <col min="7941" max="7942" width="17.5703125" customWidth="1"/>
    <col min="8193" max="8193" width="30.140625" customWidth="1"/>
    <col min="8194" max="8194" width="7.42578125" customWidth="1"/>
    <col min="8195" max="8195" width="22.140625" customWidth="1"/>
    <col min="8196" max="8196" width="0" hidden="1" customWidth="1"/>
    <col min="8197" max="8198" width="17.5703125" customWidth="1"/>
    <col min="8449" max="8449" width="30.140625" customWidth="1"/>
    <col min="8450" max="8450" width="7.42578125" customWidth="1"/>
    <col min="8451" max="8451" width="22.140625" customWidth="1"/>
    <col min="8452" max="8452" width="0" hidden="1" customWidth="1"/>
    <col min="8453" max="8454" width="17.5703125" customWidth="1"/>
    <col min="8705" max="8705" width="30.140625" customWidth="1"/>
    <col min="8706" max="8706" width="7.42578125" customWidth="1"/>
    <col min="8707" max="8707" width="22.140625" customWidth="1"/>
    <col min="8708" max="8708" width="0" hidden="1" customWidth="1"/>
    <col min="8709" max="8710" width="17.5703125" customWidth="1"/>
    <col min="8961" max="8961" width="30.140625" customWidth="1"/>
    <col min="8962" max="8962" width="7.42578125" customWidth="1"/>
    <col min="8963" max="8963" width="22.140625" customWidth="1"/>
    <col min="8964" max="8964" width="0" hidden="1" customWidth="1"/>
    <col min="8965" max="8966" width="17.5703125" customWidth="1"/>
    <col min="9217" max="9217" width="30.140625" customWidth="1"/>
    <col min="9218" max="9218" width="7.42578125" customWidth="1"/>
    <col min="9219" max="9219" width="22.140625" customWidth="1"/>
    <col min="9220" max="9220" width="0" hidden="1" customWidth="1"/>
    <col min="9221" max="9222" width="17.5703125" customWidth="1"/>
    <col min="9473" max="9473" width="30.140625" customWidth="1"/>
    <col min="9474" max="9474" width="7.42578125" customWidth="1"/>
    <col min="9475" max="9475" width="22.140625" customWidth="1"/>
    <col min="9476" max="9476" width="0" hidden="1" customWidth="1"/>
    <col min="9477" max="9478" width="17.5703125" customWidth="1"/>
    <col min="9729" max="9729" width="30.140625" customWidth="1"/>
    <col min="9730" max="9730" width="7.42578125" customWidth="1"/>
    <col min="9731" max="9731" width="22.140625" customWidth="1"/>
    <col min="9732" max="9732" width="0" hidden="1" customWidth="1"/>
    <col min="9733" max="9734" width="17.5703125" customWidth="1"/>
    <col min="9985" max="9985" width="30.140625" customWidth="1"/>
    <col min="9986" max="9986" width="7.42578125" customWidth="1"/>
    <col min="9987" max="9987" width="22.140625" customWidth="1"/>
    <col min="9988" max="9988" width="0" hidden="1" customWidth="1"/>
    <col min="9989" max="9990" width="17.5703125" customWidth="1"/>
    <col min="10241" max="10241" width="30.140625" customWidth="1"/>
    <col min="10242" max="10242" width="7.42578125" customWidth="1"/>
    <col min="10243" max="10243" width="22.140625" customWidth="1"/>
    <col min="10244" max="10244" width="0" hidden="1" customWidth="1"/>
    <col min="10245" max="10246" width="17.5703125" customWidth="1"/>
    <col min="10497" max="10497" width="30.140625" customWidth="1"/>
    <col min="10498" max="10498" width="7.42578125" customWidth="1"/>
    <col min="10499" max="10499" width="22.140625" customWidth="1"/>
    <col min="10500" max="10500" width="0" hidden="1" customWidth="1"/>
    <col min="10501" max="10502" width="17.5703125" customWidth="1"/>
    <col min="10753" max="10753" width="30.140625" customWidth="1"/>
    <col min="10754" max="10754" width="7.42578125" customWidth="1"/>
    <col min="10755" max="10755" width="22.140625" customWidth="1"/>
    <col min="10756" max="10756" width="0" hidden="1" customWidth="1"/>
    <col min="10757" max="10758" width="17.5703125" customWidth="1"/>
    <col min="11009" max="11009" width="30.140625" customWidth="1"/>
    <col min="11010" max="11010" width="7.42578125" customWidth="1"/>
    <col min="11011" max="11011" width="22.140625" customWidth="1"/>
    <col min="11012" max="11012" width="0" hidden="1" customWidth="1"/>
    <col min="11013" max="11014" width="17.5703125" customWidth="1"/>
    <col min="11265" max="11265" width="30.140625" customWidth="1"/>
    <col min="11266" max="11266" width="7.42578125" customWidth="1"/>
    <col min="11267" max="11267" width="22.140625" customWidth="1"/>
    <col min="11268" max="11268" width="0" hidden="1" customWidth="1"/>
    <col min="11269" max="11270" width="17.5703125" customWidth="1"/>
    <col min="11521" max="11521" width="30.140625" customWidth="1"/>
    <col min="11522" max="11522" width="7.42578125" customWidth="1"/>
    <col min="11523" max="11523" width="22.140625" customWidth="1"/>
    <col min="11524" max="11524" width="0" hidden="1" customWidth="1"/>
    <col min="11525" max="11526" width="17.5703125" customWidth="1"/>
    <col min="11777" max="11777" width="30.140625" customWidth="1"/>
    <col min="11778" max="11778" width="7.42578125" customWidth="1"/>
    <col min="11779" max="11779" width="22.140625" customWidth="1"/>
    <col min="11780" max="11780" width="0" hidden="1" customWidth="1"/>
    <col min="11781" max="11782" width="17.5703125" customWidth="1"/>
    <col min="12033" max="12033" width="30.140625" customWidth="1"/>
    <col min="12034" max="12034" width="7.42578125" customWidth="1"/>
    <col min="12035" max="12035" width="22.140625" customWidth="1"/>
    <col min="12036" max="12036" width="0" hidden="1" customWidth="1"/>
    <col min="12037" max="12038" width="17.5703125" customWidth="1"/>
    <col min="12289" max="12289" width="30.140625" customWidth="1"/>
    <col min="12290" max="12290" width="7.42578125" customWidth="1"/>
    <col min="12291" max="12291" width="22.140625" customWidth="1"/>
    <col min="12292" max="12292" width="0" hidden="1" customWidth="1"/>
    <col min="12293" max="12294" width="17.5703125" customWidth="1"/>
    <col min="12545" max="12545" width="30.140625" customWidth="1"/>
    <col min="12546" max="12546" width="7.42578125" customWidth="1"/>
    <col min="12547" max="12547" width="22.140625" customWidth="1"/>
    <col min="12548" max="12548" width="0" hidden="1" customWidth="1"/>
    <col min="12549" max="12550" width="17.5703125" customWidth="1"/>
    <col min="12801" max="12801" width="30.140625" customWidth="1"/>
    <col min="12802" max="12802" width="7.42578125" customWidth="1"/>
    <col min="12803" max="12803" width="22.140625" customWidth="1"/>
    <col min="12804" max="12804" width="0" hidden="1" customWidth="1"/>
    <col min="12805" max="12806" width="17.5703125" customWidth="1"/>
    <col min="13057" max="13057" width="30.140625" customWidth="1"/>
    <col min="13058" max="13058" width="7.42578125" customWidth="1"/>
    <col min="13059" max="13059" width="22.140625" customWidth="1"/>
    <col min="13060" max="13060" width="0" hidden="1" customWidth="1"/>
    <col min="13061" max="13062" width="17.5703125" customWidth="1"/>
    <col min="13313" max="13313" width="30.140625" customWidth="1"/>
    <col min="13314" max="13314" width="7.42578125" customWidth="1"/>
    <col min="13315" max="13315" width="22.140625" customWidth="1"/>
    <col min="13316" max="13316" width="0" hidden="1" customWidth="1"/>
    <col min="13317" max="13318" width="17.5703125" customWidth="1"/>
    <col min="13569" max="13569" width="30.140625" customWidth="1"/>
    <col min="13570" max="13570" width="7.42578125" customWidth="1"/>
    <col min="13571" max="13571" width="22.140625" customWidth="1"/>
    <col min="13572" max="13572" width="0" hidden="1" customWidth="1"/>
    <col min="13573" max="13574" width="17.5703125" customWidth="1"/>
    <col min="13825" max="13825" width="30.140625" customWidth="1"/>
    <col min="13826" max="13826" width="7.42578125" customWidth="1"/>
    <col min="13827" max="13827" width="22.140625" customWidth="1"/>
    <col min="13828" max="13828" width="0" hidden="1" customWidth="1"/>
    <col min="13829" max="13830" width="17.5703125" customWidth="1"/>
    <col min="14081" max="14081" width="30.140625" customWidth="1"/>
    <col min="14082" max="14082" width="7.42578125" customWidth="1"/>
    <col min="14083" max="14083" width="22.140625" customWidth="1"/>
    <col min="14084" max="14084" width="0" hidden="1" customWidth="1"/>
    <col min="14085" max="14086" width="17.5703125" customWidth="1"/>
    <col min="14337" max="14337" width="30.140625" customWidth="1"/>
    <col min="14338" max="14338" width="7.42578125" customWidth="1"/>
    <col min="14339" max="14339" width="22.140625" customWidth="1"/>
    <col min="14340" max="14340" width="0" hidden="1" customWidth="1"/>
    <col min="14341" max="14342" width="17.5703125" customWidth="1"/>
    <col min="14593" max="14593" width="30.140625" customWidth="1"/>
    <col min="14594" max="14594" width="7.42578125" customWidth="1"/>
    <col min="14595" max="14595" width="22.140625" customWidth="1"/>
    <col min="14596" max="14596" width="0" hidden="1" customWidth="1"/>
    <col min="14597" max="14598" width="17.5703125" customWidth="1"/>
    <col min="14849" max="14849" width="30.140625" customWidth="1"/>
    <col min="14850" max="14850" width="7.42578125" customWidth="1"/>
    <col min="14851" max="14851" width="22.140625" customWidth="1"/>
    <col min="14852" max="14852" width="0" hidden="1" customWidth="1"/>
    <col min="14853" max="14854" width="17.5703125" customWidth="1"/>
    <col min="15105" max="15105" width="30.140625" customWidth="1"/>
    <col min="15106" max="15106" width="7.42578125" customWidth="1"/>
    <col min="15107" max="15107" width="22.140625" customWidth="1"/>
    <col min="15108" max="15108" width="0" hidden="1" customWidth="1"/>
    <col min="15109" max="15110" width="17.5703125" customWidth="1"/>
    <col min="15361" max="15361" width="30.140625" customWidth="1"/>
    <col min="15362" max="15362" width="7.42578125" customWidth="1"/>
    <col min="15363" max="15363" width="22.140625" customWidth="1"/>
    <col min="15364" max="15364" width="0" hidden="1" customWidth="1"/>
    <col min="15365" max="15366" width="17.5703125" customWidth="1"/>
    <col min="15617" max="15617" width="30.140625" customWidth="1"/>
    <col min="15618" max="15618" width="7.42578125" customWidth="1"/>
    <col min="15619" max="15619" width="22.140625" customWidth="1"/>
    <col min="15620" max="15620" width="0" hidden="1" customWidth="1"/>
    <col min="15621" max="15622" width="17.5703125" customWidth="1"/>
    <col min="15873" max="15873" width="30.140625" customWidth="1"/>
    <col min="15874" max="15874" width="7.42578125" customWidth="1"/>
    <col min="15875" max="15875" width="22.140625" customWidth="1"/>
    <col min="15876" max="15876" width="0" hidden="1" customWidth="1"/>
    <col min="15877" max="15878" width="17.5703125" customWidth="1"/>
    <col min="16129" max="16129" width="30.140625" customWidth="1"/>
    <col min="16130" max="16130" width="7.42578125" customWidth="1"/>
    <col min="16131" max="16131" width="22.140625" customWidth="1"/>
    <col min="16132" max="16132" width="0" hidden="1" customWidth="1"/>
    <col min="16133" max="16134" width="17.5703125" customWidth="1"/>
  </cols>
  <sheetData>
    <row r="3" spans="1:8" x14ac:dyDescent="0.25">
      <c r="E3" s="431" t="s">
        <v>379</v>
      </c>
      <c r="F3" s="431"/>
    </row>
    <row r="4" spans="1:8" ht="69.75" customHeight="1" x14ac:dyDescent="0.25">
      <c r="E4" s="436" t="s">
        <v>868</v>
      </c>
      <c r="F4" s="436"/>
      <c r="G4" s="185"/>
      <c r="H4" s="185"/>
    </row>
    <row r="5" spans="1:8" ht="12.75" customHeight="1" x14ac:dyDescent="0.25">
      <c r="E5" s="432" t="s">
        <v>870</v>
      </c>
      <c r="F5" s="432"/>
      <c r="G5" s="352"/>
      <c r="H5" s="185"/>
    </row>
    <row r="6" spans="1:8" ht="23.25" customHeight="1" x14ac:dyDescent="0.25">
      <c r="E6" s="351"/>
      <c r="F6" s="351"/>
      <c r="G6" s="352"/>
      <c r="H6" s="185"/>
    </row>
    <row r="7" spans="1:8" ht="23.25" customHeight="1" x14ac:dyDescent="0.3">
      <c r="A7" s="433" t="s">
        <v>618</v>
      </c>
      <c r="B7" s="433"/>
      <c r="C7" s="433"/>
      <c r="D7" s="433"/>
      <c r="E7" s="433"/>
      <c r="F7" s="433"/>
      <c r="G7" s="352"/>
      <c r="H7" s="185"/>
    </row>
    <row r="8" spans="1:8" ht="18" customHeight="1" x14ac:dyDescent="0.25">
      <c r="A8" s="189"/>
      <c r="B8" s="189"/>
      <c r="C8" s="189"/>
      <c r="D8" s="189"/>
      <c r="E8" s="189"/>
      <c r="F8" s="353" t="s">
        <v>619</v>
      </c>
    </row>
    <row r="9" spans="1:8" ht="33.75" x14ac:dyDescent="0.25">
      <c r="A9" s="190" t="s">
        <v>384</v>
      </c>
      <c r="B9" s="191" t="s">
        <v>385</v>
      </c>
      <c r="C9" s="203" t="s">
        <v>386</v>
      </c>
      <c r="D9" s="434" t="s">
        <v>387</v>
      </c>
      <c r="E9" s="435"/>
      <c r="F9" s="192" t="s">
        <v>340</v>
      </c>
    </row>
    <row r="10" spans="1:8" ht="15.75" thickBot="1" x14ac:dyDescent="0.3">
      <c r="A10" s="190" t="s">
        <v>349</v>
      </c>
      <c r="B10" s="193" t="s">
        <v>302</v>
      </c>
      <c r="C10" s="194" t="s">
        <v>303</v>
      </c>
      <c r="D10" s="194"/>
      <c r="E10" s="194" t="s">
        <v>101</v>
      </c>
      <c r="F10" s="194" t="s">
        <v>388</v>
      </c>
    </row>
    <row r="11" spans="1:8" ht="23.25" x14ac:dyDescent="0.25">
      <c r="A11" s="195" t="s">
        <v>389</v>
      </c>
      <c r="B11" s="196" t="s">
        <v>18</v>
      </c>
      <c r="C11" s="197" t="s">
        <v>390</v>
      </c>
      <c r="D11" s="198"/>
      <c r="E11" s="198">
        <v>180.4434</v>
      </c>
      <c r="F11" s="198">
        <v>-2577.58617</v>
      </c>
    </row>
    <row r="12" spans="1:8" x14ac:dyDescent="0.25">
      <c r="A12" s="195" t="s">
        <v>391</v>
      </c>
      <c r="B12" s="196" t="s">
        <v>392</v>
      </c>
      <c r="C12" s="197" t="s">
        <v>393</v>
      </c>
      <c r="D12" s="198"/>
      <c r="E12" s="198">
        <v>180.4434</v>
      </c>
      <c r="F12" s="198">
        <v>-2577.58617</v>
      </c>
    </row>
    <row r="13" spans="1:8" ht="23.25" x14ac:dyDescent="0.25">
      <c r="A13" s="195" t="s">
        <v>394</v>
      </c>
      <c r="B13" s="196" t="s">
        <v>392</v>
      </c>
      <c r="C13" s="197" t="s">
        <v>395</v>
      </c>
      <c r="D13" s="198"/>
      <c r="E13" s="198">
        <v>180.4434</v>
      </c>
      <c r="F13" s="198">
        <v>-2577.58617</v>
      </c>
    </row>
    <row r="14" spans="1:8" x14ac:dyDescent="0.25">
      <c r="A14" s="195" t="s">
        <v>396</v>
      </c>
      <c r="B14" s="196" t="s">
        <v>397</v>
      </c>
      <c r="C14" s="197" t="s">
        <v>398</v>
      </c>
      <c r="D14" s="198"/>
      <c r="E14" s="198">
        <v>-708782.22160000005</v>
      </c>
      <c r="F14" s="198">
        <v>-708849.74947000004</v>
      </c>
    </row>
    <row r="15" spans="1:8" ht="23.25" x14ac:dyDescent="0.25">
      <c r="A15" s="195" t="s">
        <v>399</v>
      </c>
      <c r="B15" s="199"/>
      <c r="C15" s="197" t="s">
        <v>400</v>
      </c>
      <c r="D15" s="198"/>
      <c r="E15" s="198">
        <v>-708782.22160000005</v>
      </c>
      <c r="F15" s="198">
        <v>-708849.74947000004</v>
      </c>
    </row>
    <row r="16" spans="1:8" ht="23.25" x14ac:dyDescent="0.25">
      <c r="A16" s="195" t="s">
        <v>401</v>
      </c>
      <c r="B16" s="199"/>
      <c r="C16" s="197" t="s">
        <v>402</v>
      </c>
      <c r="D16" s="198"/>
      <c r="E16" s="198">
        <v>-708782.22160000005</v>
      </c>
      <c r="F16" s="198">
        <v>-708849.74947000004</v>
      </c>
    </row>
    <row r="17" spans="1:6" ht="34.5" x14ac:dyDescent="0.25">
      <c r="A17" s="195" t="s">
        <v>403</v>
      </c>
      <c r="B17" s="199"/>
      <c r="C17" s="197" t="s">
        <v>404</v>
      </c>
      <c r="D17" s="198"/>
      <c r="E17" s="198">
        <v>0</v>
      </c>
      <c r="F17" s="198">
        <v>0</v>
      </c>
    </row>
    <row r="18" spans="1:6" ht="34.5" x14ac:dyDescent="0.25">
      <c r="A18" s="195" t="s">
        <v>405</v>
      </c>
      <c r="B18" s="199"/>
      <c r="C18" s="197" t="s">
        <v>406</v>
      </c>
      <c r="D18" s="198"/>
      <c r="E18" s="198">
        <v>-708782.22160000005</v>
      </c>
      <c r="F18" s="198">
        <v>-708849.74947000004</v>
      </c>
    </row>
    <row r="19" spans="1:6" x14ac:dyDescent="0.25">
      <c r="A19" s="195" t="s">
        <v>407</v>
      </c>
      <c r="B19" s="196" t="s">
        <v>408</v>
      </c>
      <c r="C19" s="197" t="s">
        <v>409</v>
      </c>
      <c r="D19" s="198"/>
      <c r="E19" s="198">
        <v>708962.66500000004</v>
      </c>
      <c r="F19" s="198">
        <v>706272.1632999999</v>
      </c>
    </row>
    <row r="20" spans="1:6" x14ac:dyDescent="0.25">
      <c r="A20" s="200" t="s">
        <v>410</v>
      </c>
      <c r="B20" s="201"/>
      <c r="C20" s="202"/>
      <c r="D20" s="202"/>
      <c r="E20" s="202"/>
      <c r="F20" s="202"/>
    </row>
    <row r="21" spans="1:6" ht="23.25" x14ac:dyDescent="0.25">
      <c r="A21" s="195" t="s">
        <v>411</v>
      </c>
      <c r="B21" s="199"/>
      <c r="C21" s="197" t="s">
        <v>412</v>
      </c>
      <c r="D21" s="198"/>
      <c r="E21" s="198">
        <v>708962.66500000004</v>
      </c>
      <c r="F21" s="198">
        <v>706272.1632999999</v>
      </c>
    </row>
    <row r="22" spans="1:6" ht="23.25" x14ac:dyDescent="0.25">
      <c r="A22" s="195" t="s">
        <v>413</v>
      </c>
      <c r="B22" s="199"/>
      <c r="C22" s="197" t="s">
        <v>414</v>
      </c>
      <c r="D22" s="198"/>
      <c r="E22" s="198">
        <v>708962.66500000004</v>
      </c>
      <c r="F22" s="198">
        <v>706272.1632999999</v>
      </c>
    </row>
    <row r="23" spans="1:6" ht="34.5" x14ac:dyDescent="0.25">
      <c r="A23" s="195" t="s">
        <v>415</v>
      </c>
      <c r="B23" s="199"/>
      <c r="C23" s="197" t="s">
        <v>416</v>
      </c>
      <c r="D23" s="198"/>
      <c r="E23" s="198">
        <v>0</v>
      </c>
      <c r="F23" s="198">
        <v>0</v>
      </c>
    </row>
    <row r="24" spans="1:6" ht="34.5" x14ac:dyDescent="0.25">
      <c r="A24" s="195" t="s">
        <v>417</v>
      </c>
      <c r="B24" s="199"/>
      <c r="C24" s="197" t="s">
        <v>418</v>
      </c>
      <c r="D24" s="198"/>
      <c r="E24" s="198">
        <v>708962.66500000004</v>
      </c>
      <c r="F24" s="198">
        <v>706272.1632999999</v>
      </c>
    </row>
  </sheetData>
  <mergeCells count="5">
    <mergeCell ref="E3:F3"/>
    <mergeCell ref="E5:F5"/>
    <mergeCell ref="A7:F7"/>
    <mergeCell ref="D9:E9"/>
    <mergeCell ref="E4:F4"/>
  </mergeCells>
  <pageMargins left="0.70866141732283472" right="0.19685039370078741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10" sqref="A10:B13"/>
    </sheetView>
  </sheetViews>
  <sheetFormatPr defaultRowHeight="15" x14ac:dyDescent="0.25"/>
  <cols>
    <col min="1" max="1" width="25.140625" style="316" customWidth="1"/>
    <col min="2" max="2" width="17.42578125" style="316" customWidth="1"/>
    <col min="3" max="3" width="11.42578125" style="316" customWidth="1"/>
    <col min="4" max="4" width="11" style="316" customWidth="1"/>
    <col min="5" max="5" width="21.28515625" style="316" customWidth="1"/>
    <col min="6" max="6" width="33.140625" style="316" customWidth="1"/>
    <col min="7" max="16384" width="9.140625" style="316"/>
  </cols>
  <sheetData>
    <row r="1" spans="1:6" x14ac:dyDescent="0.25">
      <c r="F1" s="317" t="s">
        <v>850</v>
      </c>
    </row>
    <row r="2" spans="1:6" x14ac:dyDescent="0.25">
      <c r="E2" s="318"/>
    </row>
    <row r="3" spans="1:6" x14ac:dyDescent="0.25">
      <c r="A3" s="484" t="s">
        <v>617</v>
      </c>
      <c r="B3" s="484"/>
      <c r="C3" s="484"/>
      <c r="D3" s="484"/>
      <c r="E3" s="484"/>
      <c r="F3" s="484"/>
    </row>
    <row r="5" spans="1:6" x14ac:dyDescent="0.25">
      <c r="F5" s="319" t="s">
        <v>521</v>
      </c>
    </row>
    <row r="6" spans="1:6" ht="30" x14ac:dyDescent="0.25">
      <c r="A6" s="485" t="s">
        <v>582</v>
      </c>
      <c r="B6" s="485"/>
      <c r="C6" s="320" t="s">
        <v>527</v>
      </c>
      <c r="D6" s="320" t="s">
        <v>528</v>
      </c>
      <c r="E6" s="321" t="s">
        <v>583</v>
      </c>
      <c r="F6" s="321" t="s">
        <v>584</v>
      </c>
    </row>
    <row r="7" spans="1:6" x14ac:dyDescent="0.25">
      <c r="A7" s="486" t="s">
        <v>585</v>
      </c>
      <c r="B7" s="486"/>
      <c r="C7" s="322">
        <v>64.900000000000006</v>
      </c>
      <c r="D7" s="322">
        <v>64.900000000000006</v>
      </c>
      <c r="E7" s="323"/>
      <c r="F7" s="323"/>
    </row>
    <row r="8" spans="1:6" x14ac:dyDescent="0.25">
      <c r="A8" s="487" t="s">
        <v>410</v>
      </c>
      <c r="B8" s="487"/>
      <c r="C8" s="324"/>
      <c r="D8" s="324"/>
      <c r="E8" s="325"/>
      <c r="F8" s="325"/>
    </row>
    <row r="9" spans="1:6" ht="60" x14ac:dyDescent="0.25">
      <c r="A9" s="488" t="s">
        <v>586</v>
      </c>
      <c r="B9" s="489"/>
      <c r="C9" s="326">
        <v>25</v>
      </c>
      <c r="D9" s="326">
        <v>25</v>
      </c>
      <c r="E9" s="327" t="s">
        <v>587</v>
      </c>
      <c r="F9" s="325" t="s">
        <v>588</v>
      </c>
    </row>
    <row r="10" spans="1:6" ht="90" x14ac:dyDescent="0.25">
      <c r="A10" s="490" t="s">
        <v>589</v>
      </c>
      <c r="B10" s="491"/>
      <c r="C10" s="326">
        <v>9.9</v>
      </c>
      <c r="D10" s="326">
        <v>9.9</v>
      </c>
      <c r="E10" s="327" t="s">
        <v>590</v>
      </c>
      <c r="F10" s="325" t="s">
        <v>591</v>
      </c>
    </row>
    <row r="11" spans="1:6" ht="45" x14ac:dyDescent="0.25">
      <c r="A11" s="492"/>
      <c r="B11" s="493"/>
      <c r="C11" s="326">
        <v>10</v>
      </c>
      <c r="D11" s="326">
        <v>10</v>
      </c>
      <c r="E11" s="327" t="s">
        <v>592</v>
      </c>
      <c r="F11" s="325" t="s">
        <v>593</v>
      </c>
    </row>
    <row r="12" spans="1:6" ht="45" x14ac:dyDescent="0.25">
      <c r="A12" s="492"/>
      <c r="B12" s="493"/>
      <c r="C12" s="326">
        <v>10</v>
      </c>
      <c r="D12" s="326">
        <v>10</v>
      </c>
      <c r="E12" s="327" t="s">
        <v>594</v>
      </c>
      <c r="F12" s="325" t="s">
        <v>595</v>
      </c>
    </row>
    <row r="13" spans="1:6" ht="30" x14ac:dyDescent="0.25">
      <c r="A13" s="494"/>
      <c r="B13" s="495"/>
      <c r="C13" s="326">
        <v>10</v>
      </c>
      <c r="D13" s="326">
        <v>10</v>
      </c>
      <c r="E13" s="327" t="s">
        <v>596</v>
      </c>
      <c r="F13" s="328" t="s">
        <v>593</v>
      </c>
    </row>
    <row r="14" spans="1:6" x14ac:dyDescent="0.25">
      <c r="A14" s="486" t="s">
        <v>597</v>
      </c>
      <c r="B14" s="486"/>
      <c r="C14" s="329">
        <v>163</v>
      </c>
      <c r="D14" s="322">
        <v>0</v>
      </c>
      <c r="E14" s="323"/>
      <c r="F14" s="323"/>
    </row>
    <row r="15" spans="1:6" x14ac:dyDescent="0.25">
      <c r="A15" s="487" t="s">
        <v>410</v>
      </c>
      <c r="B15" s="487"/>
      <c r="C15" s="330"/>
      <c r="D15" s="328"/>
      <c r="E15" s="325"/>
      <c r="F15" s="325"/>
    </row>
    <row r="16" spans="1:6" x14ac:dyDescent="0.25">
      <c r="A16" s="496"/>
      <c r="B16" s="497"/>
      <c r="C16" s="330"/>
      <c r="D16" s="328"/>
      <c r="E16" s="325"/>
      <c r="F16" s="325"/>
    </row>
    <row r="17" spans="1:6" x14ac:dyDescent="0.25">
      <c r="A17" s="498"/>
      <c r="B17" s="499"/>
      <c r="C17" s="331">
        <v>163</v>
      </c>
      <c r="D17" s="328">
        <v>0</v>
      </c>
      <c r="E17" s="325"/>
      <c r="F17" s="325"/>
    </row>
    <row r="19" spans="1:6" hidden="1" x14ac:dyDescent="0.25">
      <c r="A19" s="484"/>
      <c r="B19" s="484"/>
      <c r="C19" s="484"/>
      <c r="D19" s="484"/>
      <c r="E19" s="484"/>
      <c r="F19" s="484"/>
    </row>
    <row r="20" spans="1:6" hidden="1" x14ac:dyDescent="0.25"/>
    <row r="21" spans="1:6" hidden="1" x14ac:dyDescent="0.25">
      <c r="F21" s="319"/>
    </row>
    <row r="22" spans="1:6" hidden="1" x14ac:dyDescent="0.25">
      <c r="A22" s="484"/>
      <c r="B22" s="484"/>
      <c r="C22" s="332"/>
      <c r="D22" s="332"/>
      <c r="E22" s="333"/>
      <c r="F22" s="333"/>
    </row>
    <row r="23" spans="1:6" hidden="1" x14ac:dyDescent="0.25">
      <c r="A23" s="483"/>
      <c r="B23" s="483"/>
      <c r="C23" s="334"/>
      <c r="D23" s="334"/>
      <c r="E23" s="334"/>
      <c r="F23" s="334"/>
    </row>
    <row r="24" spans="1:6" hidden="1" x14ac:dyDescent="0.25">
      <c r="A24" s="482"/>
      <c r="B24" s="482"/>
      <c r="C24" s="335"/>
      <c r="D24" s="335"/>
      <c r="E24" s="335"/>
      <c r="F24" s="335"/>
    </row>
    <row r="25" spans="1:6" hidden="1" x14ac:dyDescent="0.25">
      <c r="A25" s="482"/>
      <c r="B25" s="482"/>
      <c r="C25" s="335"/>
      <c r="D25" s="335"/>
      <c r="E25" s="335"/>
      <c r="F25" s="335"/>
    </row>
    <row r="26" spans="1:6" hidden="1" x14ac:dyDescent="0.25">
      <c r="A26" s="482"/>
      <c r="B26" s="482"/>
      <c r="C26" s="335"/>
      <c r="D26" s="335"/>
      <c r="E26" s="335"/>
      <c r="F26" s="335"/>
    </row>
    <row r="27" spans="1:6" hidden="1" x14ac:dyDescent="0.25">
      <c r="A27" s="483"/>
      <c r="B27" s="483"/>
      <c r="C27" s="334"/>
      <c r="D27" s="334"/>
      <c r="E27" s="334"/>
      <c r="F27" s="334"/>
    </row>
    <row r="28" spans="1:6" hidden="1" x14ac:dyDescent="0.25">
      <c r="A28" s="482"/>
      <c r="B28" s="482"/>
      <c r="C28" s="335"/>
      <c r="D28" s="335"/>
      <c r="E28" s="335"/>
      <c r="F28" s="335"/>
    </row>
    <row r="29" spans="1:6" hidden="1" x14ac:dyDescent="0.25">
      <c r="A29" s="482"/>
      <c r="B29" s="482"/>
      <c r="C29" s="335"/>
      <c r="D29" s="335"/>
      <c r="E29" s="335"/>
      <c r="F29" s="335"/>
    </row>
    <row r="30" spans="1:6" hidden="1" x14ac:dyDescent="0.25">
      <c r="A30" s="482"/>
      <c r="B30" s="482"/>
      <c r="C30" s="335"/>
      <c r="D30" s="335"/>
      <c r="E30" s="335"/>
      <c r="F30" s="335"/>
    </row>
    <row r="31" spans="1:6" hidden="1" x14ac:dyDescent="0.25">
      <c r="A31" s="336"/>
      <c r="B31" s="336"/>
      <c r="C31" s="336"/>
      <c r="D31" s="336"/>
      <c r="E31" s="336"/>
      <c r="F31" s="336"/>
    </row>
    <row r="32" spans="1:6" hidden="1" x14ac:dyDescent="0.25"/>
  </sheetData>
  <mergeCells count="17">
    <mergeCell ref="A23:B23"/>
    <mergeCell ref="A3:F3"/>
    <mergeCell ref="A6:B6"/>
    <mergeCell ref="A7:B7"/>
    <mergeCell ref="A8:B8"/>
    <mergeCell ref="A9:B9"/>
    <mergeCell ref="A10:B13"/>
    <mergeCell ref="A14:B14"/>
    <mergeCell ref="A15:B15"/>
    <mergeCell ref="A16:B17"/>
    <mergeCell ref="A19:F19"/>
    <mergeCell ref="A22:B22"/>
    <mergeCell ref="A24:B24"/>
    <mergeCell ref="A25:B26"/>
    <mergeCell ref="A27:B27"/>
    <mergeCell ref="A28:B28"/>
    <mergeCell ref="A29:B30"/>
  </mergeCells>
  <pageMargins left="0.59055118110236227" right="0.19685039370078741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" sqref="I1"/>
    </sheetView>
  </sheetViews>
  <sheetFormatPr defaultRowHeight="15" x14ac:dyDescent="0.25"/>
  <cols>
    <col min="1" max="1" width="4.5703125" style="337" customWidth="1"/>
    <col min="2" max="2" width="23.28515625" style="337" customWidth="1"/>
    <col min="3" max="8" width="13" style="337" customWidth="1"/>
    <col min="9" max="9" width="34.140625" style="337" customWidth="1"/>
    <col min="10" max="16384" width="9.140625" style="337"/>
  </cols>
  <sheetData>
    <row r="1" spans="1:9" x14ac:dyDescent="0.25">
      <c r="I1" s="425" t="s">
        <v>342</v>
      </c>
    </row>
    <row r="2" spans="1:9" ht="15.75" x14ac:dyDescent="0.25">
      <c r="A2" s="500" t="s">
        <v>598</v>
      </c>
      <c r="B2" s="500"/>
      <c r="C2" s="500"/>
      <c r="D2" s="500"/>
      <c r="E2" s="500"/>
      <c r="F2" s="500"/>
      <c r="G2" s="500"/>
      <c r="H2" s="500"/>
      <c r="I2" s="500"/>
    </row>
    <row r="4" spans="1:9" x14ac:dyDescent="0.25">
      <c r="I4" s="338" t="s">
        <v>521</v>
      </c>
    </row>
    <row r="5" spans="1:9" s="339" customFormat="1" ht="14.25" x14ac:dyDescent="0.25">
      <c r="A5" s="501" t="s">
        <v>221</v>
      </c>
      <c r="B5" s="501" t="s">
        <v>599</v>
      </c>
      <c r="C5" s="501">
        <v>2020</v>
      </c>
      <c r="D5" s="501"/>
      <c r="E5" s="501"/>
      <c r="F5" s="501"/>
      <c r="G5" s="501">
        <v>2021</v>
      </c>
      <c r="H5" s="501"/>
      <c r="I5" s="501" t="s">
        <v>600</v>
      </c>
    </row>
    <row r="6" spans="1:9" s="340" customFormat="1" ht="14.25" x14ac:dyDescent="0.2">
      <c r="A6" s="501"/>
      <c r="B6" s="501"/>
      <c r="C6" s="501" t="s">
        <v>527</v>
      </c>
      <c r="D6" s="501"/>
      <c r="E6" s="501" t="s">
        <v>528</v>
      </c>
      <c r="F6" s="501"/>
      <c r="G6" s="502" t="s">
        <v>527</v>
      </c>
      <c r="H6" s="502"/>
      <c r="I6" s="501"/>
    </row>
    <row r="7" spans="1:9" s="340" customFormat="1" ht="14.25" x14ac:dyDescent="0.2">
      <c r="A7" s="501"/>
      <c r="B7" s="501"/>
      <c r="C7" s="341" t="s">
        <v>343</v>
      </c>
      <c r="D7" s="341" t="s">
        <v>344</v>
      </c>
      <c r="E7" s="341" t="s">
        <v>343</v>
      </c>
      <c r="F7" s="341" t="s">
        <v>344</v>
      </c>
      <c r="G7" s="341" t="s">
        <v>343</v>
      </c>
      <c r="H7" s="341" t="s">
        <v>344</v>
      </c>
      <c r="I7" s="501"/>
    </row>
    <row r="8" spans="1:9" ht="150" x14ac:dyDescent="0.25">
      <c r="A8" s="342">
        <v>1</v>
      </c>
      <c r="B8" s="343" t="s">
        <v>601</v>
      </c>
      <c r="C8" s="344">
        <v>950</v>
      </c>
      <c r="D8" s="344">
        <v>47.5</v>
      </c>
      <c r="E8" s="344">
        <v>950</v>
      </c>
      <c r="F8" s="344">
        <v>47.5</v>
      </c>
      <c r="G8" s="344">
        <v>1980.2</v>
      </c>
      <c r="H8" s="344">
        <v>19.8</v>
      </c>
      <c r="I8" s="345" t="s">
        <v>602</v>
      </c>
    </row>
    <row r="9" spans="1:9" s="347" customFormat="1" ht="90" x14ac:dyDescent="0.25">
      <c r="A9" s="342">
        <v>2</v>
      </c>
      <c r="B9" s="343" t="s">
        <v>603</v>
      </c>
      <c r="C9" s="344">
        <v>1212</v>
      </c>
      <c r="D9" s="346">
        <v>205.5</v>
      </c>
      <c r="E9" s="344">
        <v>1212</v>
      </c>
      <c r="F9" s="346">
        <v>205.5</v>
      </c>
      <c r="G9" s="344">
        <v>3174.3</v>
      </c>
      <c r="H9" s="344">
        <v>367</v>
      </c>
      <c r="I9" s="345" t="s">
        <v>604</v>
      </c>
    </row>
    <row r="10" spans="1:9" ht="89.25" x14ac:dyDescent="0.25">
      <c r="A10" s="342">
        <v>3</v>
      </c>
      <c r="B10" s="348" t="s">
        <v>605</v>
      </c>
      <c r="C10" s="344">
        <v>1700</v>
      </c>
      <c r="D10" s="349">
        <v>17.170000000000002</v>
      </c>
      <c r="E10" s="344">
        <v>1700</v>
      </c>
      <c r="F10" s="349">
        <v>17.170000000000002</v>
      </c>
      <c r="G10" s="344">
        <v>0</v>
      </c>
      <c r="H10" s="344">
        <v>0</v>
      </c>
      <c r="I10" s="350" t="s">
        <v>606</v>
      </c>
    </row>
    <row r="11" spans="1:9" ht="63.75" x14ac:dyDescent="0.25">
      <c r="A11" s="342">
        <v>4</v>
      </c>
      <c r="B11" s="348" t="s">
        <v>607</v>
      </c>
      <c r="C11" s="344">
        <v>0</v>
      </c>
      <c r="D11" s="344">
        <v>0</v>
      </c>
      <c r="E11" s="344">
        <v>0</v>
      </c>
      <c r="F11" s="344">
        <v>0</v>
      </c>
      <c r="G11" s="344">
        <v>1028.8</v>
      </c>
      <c r="H11" s="344">
        <v>308</v>
      </c>
      <c r="I11" s="345"/>
    </row>
    <row r="12" spans="1:9" ht="105" x14ac:dyDescent="0.25">
      <c r="A12" s="342">
        <v>5</v>
      </c>
      <c r="B12" s="343" t="s">
        <v>608</v>
      </c>
      <c r="C12" s="344">
        <v>60</v>
      </c>
      <c r="D12" s="344">
        <v>52</v>
      </c>
      <c r="E12" s="344">
        <v>60</v>
      </c>
      <c r="F12" s="344">
        <v>52</v>
      </c>
      <c r="G12" s="344">
        <v>0</v>
      </c>
      <c r="H12" s="344">
        <v>0</v>
      </c>
      <c r="I12" s="345" t="s">
        <v>609</v>
      </c>
    </row>
    <row r="13" spans="1:9" ht="180" x14ac:dyDescent="0.25">
      <c r="A13" s="342">
        <v>6</v>
      </c>
      <c r="B13" s="343" t="s">
        <v>610</v>
      </c>
      <c r="C13" s="344">
        <v>1320</v>
      </c>
      <c r="D13" s="344">
        <v>80</v>
      </c>
      <c r="E13" s="344">
        <v>1320</v>
      </c>
      <c r="F13" s="344">
        <v>80</v>
      </c>
      <c r="G13" s="344"/>
      <c r="H13" s="344"/>
      <c r="I13" s="345" t="s">
        <v>611</v>
      </c>
    </row>
    <row r="14" spans="1:9" ht="195" x14ac:dyDescent="0.25">
      <c r="A14" s="342">
        <v>7</v>
      </c>
      <c r="B14" s="343" t="s">
        <v>612</v>
      </c>
      <c r="C14" s="344">
        <v>8000</v>
      </c>
      <c r="D14" s="344">
        <v>571.4</v>
      </c>
      <c r="E14" s="344">
        <v>8000</v>
      </c>
      <c r="F14" s="344">
        <v>571.4</v>
      </c>
      <c r="G14" s="344">
        <v>2000</v>
      </c>
      <c r="H14" s="344">
        <v>105</v>
      </c>
      <c r="I14" s="345" t="s">
        <v>613</v>
      </c>
    </row>
    <row r="15" spans="1:9" ht="105" x14ac:dyDescent="0.25">
      <c r="A15" s="342">
        <v>8</v>
      </c>
      <c r="B15" s="343" t="s">
        <v>489</v>
      </c>
      <c r="C15" s="344">
        <v>4100</v>
      </c>
      <c r="D15" s="344">
        <v>204.9</v>
      </c>
      <c r="E15" s="344">
        <v>3895</v>
      </c>
      <c r="F15" s="344">
        <v>204.9</v>
      </c>
      <c r="G15" s="344">
        <v>0</v>
      </c>
      <c r="H15" s="344">
        <v>0</v>
      </c>
      <c r="I15" s="345" t="s">
        <v>614</v>
      </c>
    </row>
    <row r="16" spans="1:9" ht="105" x14ac:dyDescent="0.25">
      <c r="A16" s="342">
        <v>9</v>
      </c>
      <c r="B16" s="343" t="s">
        <v>615</v>
      </c>
      <c r="C16" s="344">
        <v>3403.4</v>
      </c>
      <c r="D16" s="344">
        <v>850.85</v>
      </c>
      <c r="E16" s="344">
        <v>3403.4</v>
      </c>
      <c r="F16" s="344">
        <v>850.9</v>
      </c>
      <c r="G16" s="344">
        <v>1927.8</v>
      </c>
      <c r="H16" s="344">
        <v>481.9</v>
      </c>
      <c r="I16" s="345" t="s">
        <v>616</v>
      </c>
    </row>
  </sheetData>
  <mergeCells count="9">
    <mergeCell ref="A2:I2"/>
    <mergeCell ref="A5:A7"/>
    <mergeCell ref="B5:B7"/>
    <mergeCell ref="C5:F5"/>
    <mergeCell ref="G5:H5"/>
    <mergeCell ref="I5:I7"/>
    <mergeCell ref="C6:D6"/>
    <mergeCell ref="E6:F6"/>
    <mergeCell ref="G6:H6"/>
  </mergeCells>
  <pageMargins left="0.59055118110236227" right="0.19685039370078741" top="0.74803149606299213" bottom="0.74803149606299213" header="0.31496062992125984" footer="0.31496062992125984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workbookViewId="0">
      <selection activeCell="D2" sqref="D2"/>
    </sheetView>
  </sheetViews>
  <sheetFormatPr defaultRowHeight="12.75" x14ac:dyDescent="0.2"/>
  <cols>
    <col min="1" max="2" width="9.140625" style="152"/>
    <col min="3" max="3" width="11.140625" style="152" customWidth="1"/>
    <col min="4" max="4" width="64.140625" style="152" customWidth="1"/>
    <col min="5" max="7" width="9.140625" style="152" customWidth="1"/>
    <col min="8" max="8" width="9" style="152" customWidth="1"/>
    <col min="9" max="22" width="9.140625" style="152" hidden="1" customWidth="1"/>
    <col min="23" max="16384" width="9.140625" style="152"/>
  </cols>
  <sheetData>
    <row r="1" spans="1:8" x14ac:dyDescent="0.2">
      <c r="A1" s="53"/>
      <c r="B1" s="53"/>
      <c r="C1" s="53"/>
      <c r="D1" s="65"/>
      <c r="E1" s="354"/>
      <c r="F1" s="457" t="s">
        <v>849</v>
      </c>
      <c r="G1" s="457"/>
      <c r="H1" s="457"/>
    </row>
    <row r="2" spans="1:8" ht="75" customHeight="1" x14ac:dyDescent="0.2">
      <c r="A2" s="153"/>
      <c r="B2" s="153"/>
      <c r="C2" s="153"/>
      <c r="D2" s="66"/>
      <c r="E2" s="63"/>
      <c r="F2" s="527" t="s">
        <v>871</v>
      </c>
      <c r="G2" s="527"/>
      <c r="H2" s="527"/>
    </row>
    <row r="3" spans="1:8" x14ac:dyDescent="0.2">
      <c r="A3" s="53"/>
      <c r="B3" s="53"/>
      <c r="C3" s="53"/>
      <c r="D3" s="154"/>
      <c r="E3" s="130"/>
      <c r="F3" s="504" t="s">
        <v>878</v>
      </c>
      <c r="G3" s="504"/>
      <c r="H3" s="504"/>
    </row>
    <row r="4" spans="1:8" x14ac:dyDescent="0.2">
      <c r="A4" s="53"/>
      <c r="B4" s="53"/>
      <c r="C4" s="53"/>
      <c r="D4" s="154"/>
      <c r="E4" s="130"/>
      <c r="F4" s="356"/>
      <c r="G4" s="356"/>
      <c r="H4" s="356"/>
    </row>
    <row r="5" spans="1:8" x14ac:dyDescent="0.2">
      <c r="A5" s="505" t="s">
        <v>620</v>
      </c>
      <c r="B5" s="505"/>
      <c r="C5" s="505"/>
      <c r="D5" s="505"/>
      <c r="E5" s="505"/>
      <c r="F5" s="505"/>
      <c r="G5" s="505"/>
      <c r="H5" s="505"/>
    </row>
    <row r="6" spans="1:8" x14ac:dyDescent="0.2">
      <c r="A6" s="151"/>
      <c r="B6" s="151"/>
      <c r="C6" s="151"/>
      <c r="D6" s="151"/>
      <c r="E6" s="53"/>
      <c r="F6" s="53"/>
      <c r="G6" s="53"/>
      <c r="H6" s="53"/>
    </row>
    <row r="7" spans="1:8" x14ac:dyDescent="0.2">
      <c r="A7" s="53"/>
      <c r="B7" s="53"/>
      <c r="C7" s="53"/>
      <c r="D7" s="53"/>
      <c r="E7" s="53"/>
      <c r="F7" s="53"/>
      <c r="G7" s="53"/>
      <c r="H7" s="53"/>
    </row>
    <row r="8" spans="1:8" x14ac:dyDescent="0.2">
      <c r="A8" s="506" t="s">
        <v>231</v>
      </c>
      <c r="B8" s="506"/>
      <c r="C8" s="506"/>
      <c r="D8" s="155" t="s">
        <v>232</v>
      </c>
      <c r="E8" s="423" t="s">
        <v>345</v>
      </c>
      <c r="F8" s="423" t="s">
        <v>346</v>
      </c>
      <c r="G8" s="423" t="s">
        <v>347</v>
      </c>
      <c r="H8" s="110" t="s">
        <v>348</v>
      </c>
    </row>
    <row r="9" spans="1:8" x14ac:dyDescent="0.2">
      <c r="A9" s="503" t="s">
        <v>349</v>
      </c>
      <c r="B9" s="503"/>
      <c r="C9" s="503"/>
      <c r="D9" s="155">
        <v>2</v>
      </c>
      <c r="E9" s="156">
        <v>3</v>
      </c>
      <c r="F9" s="112">
        <v>4</v>
      </c>
      <c r="G9" s="157">
        <v>5</v>
      </c>
      <c r="H9" s="112">
        <v>6</v>
      </c>
    </row>
    <row r="10" spans="1:8" ht="13.5" x14ac:dyDescent="0.2">
      <c r="A10" s="508" t="s">
        <v>233</v>
      </c>
      <c r="B10" s="508"/>
      <c r="C10" s="508"/>
      <c r="D10" s="112" t="s">
        <v>234</v>
      </c>
      <c r="E10" s="158">
        <f>E11+E30</f>
        <v>48378.947</v>
      </c>
      <c r="F10" s="158">
        <f>F11+F30</f>
        <v>48563.228000000003</v>
      </c>
      <c r="G10" s="180">
        <f t="shared" ref="G10:G27" si="0">F10/E10*100</f>
        <v>100.38091155642557</v>
      </c>
      <c r="H10" s="159">
        <f>F10-E10</f>
        <v>184.28100000000268</v>
      </c>
    </row>
    <row r="11" spans="1:8" ht="13.5" x14ac:dyDescent="0.2">
      <c r="A11" s="508"/>
      <c r="B11" s="508"/>
      <c r="C11" s="508"/>
      <c r="D11" s="160" t="s">
        <v>235</v>
      </c>
      <c r="E11" s="161">
        <f>E12+E14+E16+E20+E26+E29</f>
        <v>46022.955999999998</v>
      </c>
      <c r="F11" s="161">
        <f>F12+F14+F16+F20+F26+F29</f>
        <v>46195.622000000003</v>
      </c>
      <c r="G11" s="180">
        <f t="shared" si="0"/>
        <v>100.37517364160618</v>
      </c>
      <c r="H11" s="159">
        <f t="shared" ref="H11:H76" si="1">F11-E11</f>
        <v>172.66600000000471</v>
      </c>
    </row>
    <row r="12" spans="1:8" x14ac:dyDescent="0.2">
      <c r="A12" s="507" t="s">
        <v>236</v>
      </c>
      <c r="B12" s="507"/>
      <c r="C12" s="507"/>
      <c r="D12" s="115" t="s">
        <v>237</v>
      </c>
      <c r="E12" s="162">
        <f>E13</f>
        <v>29469</v>
      </c>
      <c r="F12" s="162">
        <f>F13</f>
        <v>29620.377</v>
      </c>
      <c r="G12" s="180">
        <f t="shared" si="0"/>
        <v>100.51368217448844</v>
      </c>
      <c r="H12" s="159">
        <f t="shared" si="1"/>
        <v>151.37700000000041</v>
      </c>
    </row>
    <row r="13" spans="1:8" x14ac:dyDescent="0.2">
      <c r="A13" s="507" t="s">
        <v>238</v>
      </c>
      <c r="B13" s="507"/>
      <c r="C13" s="507"/>
      <c r="D13" s="115" t="s">
        <v>239</v>
      </c>
      <c r="E13" s="163">
        <v>29469</v>
      </c>
      <c r="F13" s="163">
        <v>29620.377</v>
      </c>
      <c r="G13" s="180">
        <f t="shared" si="0"/>
        <v>100.51368217448844</v>
      </c>
      <c r="H13" s="159">
        <f t="shared" si="1"/>
        <v>151.37700000000041</v>
      </c>
    </row>
    <row r="14" spans="1:8" ht="25.5" x14ac:dyDescent="0.2">
      <c r="A14" s="507" t="s">
        <v>240</v>
      </c>
      <c r="B14" s="507"/>
      <c r="C14" s="507"/>
      <c r="D14" s="115" t="s">
        <v>241</v>
      </c>
      <c r="E14" s="161">
        <f>E15</f>
        <v>10626</v>
      </c>
      <c r="F14" s="161">
        <f>F15</f>
        <v>10431.441999999999</v>
      </c>
      <c r="G14" s="180">
        <f t="shared" si="0"/>
        <v>98.169038208168629</v>
      </c>
      <c r="H14" s="159">
        <f t="shared" si="1"/>
        <v>-194.5580000000009</v>
      </c>
    </row>
    <row r="15" spans="1:8" ht="25.5" x14ac:dyDescent="0.2">
      <c r="A15" s="507" t="s">
        <v>242</v>
      </c>
      <c r="B15" s="507"/>
      <c r="C15" s="507"/>
      <c r="D15" s="115" t="s">
        <v>243</v>
      </c>
      <c r="E15" s="163">
        <v>10626</v>
      </c>
      <c r="F15" s="163">
        <v>10431.441999999999</v>
      </c>
      <c r="G15" s="180">
        <f t="shared" si="0"/>
        <v>98.169038208168629</v>
      </c>
      <c r="H15" s="159">
        <f t="shared" si="1"/>
        <v>-194.5580000000009</v>
      </c>
    </row>
    <row r="16" spans="1:8" x14ac:dyDescent="0.2">
      <c r="A16" s="507" t="s">
        <v>244</v>
      </c>
      <c r="B16" s="507"/>
      <c r="C16" s="507"/>
      <c r="D16" s="115" t="s">
        <v>245</v>
      </c>
      <c r="E16" s="162">
        <f>E17+E18+E19</f>
        <v>1708</v>
      </c>
      <c r="F16" s="162">
        <f>F17+F18+F19</f>
        <v>1708.3599999999997</v>
      </c>
      <c r="G16" s="180">
        <f t="shared" si="0"/>
        <v>100.02107728337235</v>
      </c>
      <c r="H16" s="159">
        <f t="shared" si="1"/>
        <v>0.35999999999967258</v>
      </c>
    </row>
    <row r="17" spans="1:8" ht="25.5" x14ac:dyDescent="0.2">
      <c r="A17" s="509" t="s">
        <v>246</v>
      </c>
      <c r="B17" s="509"/>
      <c r="C17" s="509"/>
      <c r="D17" s="164" t="s">
        <v>247</v>
      </c>
      <c r="E17" s="163">
        <v>360</v>
      </c>
      <c r="F17" s="163">
        <v>360.4</v>
      </c>
      <c r="G17" s="180">
        <f t="shared" si="0"/>
        <v>100.1111111111111</v>
      </c>
      <c r="H17" s="159">
        <f t="shared" si="1"/>
        <v>0.39999999999997726</v>
      </c>
    </row>
    <row r="18" spans="1:8" x14ac:dyDescent="0.2">
      <c r="A18" s="507" t="s">
        <v>248</v>
      </c>
      <c r="B18" s="507"/>
      <c r="C18" s="507"/>
      <c r="D18" s="115" t="s">
        <v>249</v>
      </c>
      <c r="E18" s="163">
        <v>1060</v>
      </c>
      <c r="F18" s="163">
        <v>1060.1679999999999</v>
      </c>
      <c r="G18" s="180">
        <f t="shared" si="0"/>
        <v>100.01584905660377</v>
      </c>
      <c r="H18" s="159">
        <f t="shared" si="1"/>
        <v>0.16799999999989268</v>
      </c>
    </row>
    <row r="19" spans="1:8" x14ac:dyDescent="0.2">
      <c r="A19" s="507" t="s">
        <v>250</v>
      </c>
      <c r="B19" s="507"/>
      <c r="C19" s="507"/>
      <c r="D19" s="115" t="s">
        <v>251</v>
      </c>
      <c r="E19" s="163">
        <v>288</v>
      </c>
      <c r="F19" s="163">
        <v>287.79199999999997</v>
      </c>
      <c r="G19" s="180">
        <f t="shared" si="0"/>
        <v>99.927777777777777</v>
      </c>
      <c r="H19" s="159">
        <f t="shared" si="1"/>
        <v>-0.20800000000002683</v>
      </c>
    </row>
    <row r="20" spans="1:8" x14ac:dyDescent="0.2">
      <c r="A20" s="507" t="s">
        <v>252</v>
      </c>
      <c r="B20" s="507"/>
      <c r="C20" s="507"/>
      <c r="D20" s="115" t="s">
        <v>253</v>
      </c>
      <c r="E20" s="162">
        <f>E21+E22+E23</f>
        <v>3116.9560000000001</v>
      </c>
      <c r="F20" s="162">
        <f>F21+F22+F23</f>
        <v>3137.8720000000003</v>
      </c>
      <c r="G20" s="180">
        <f t="shared" si="0"/>
        <v>100.67103930886417</v>
      </c>
      <c r="H20" s="159">
        <f t="shared" si="1"/>
        <v>20.916000000000167</v>
      </c>
    </row>
    <row r="21" spans="1:8" x14ac:dyDescent="0.2">
      <c r="A21" s="507" t="s">
        <v>350</v>
      </c>
      <c r="B21" s="507"/>
      <c r="C21" s="507"/>
      <c r="D21" s="115" t="s">
        <v>351</v>
      </c>
      <c r="E21" s="162">
        <v>500</v>
      </c>
      <c r="F21" s="163">
        <v>504.65199999999999</v>
      </c>
      <c r="G21" s="180">
        <f t="shared" si="0"/>
        <v>100.93039999999999</v>
      </c>
      <c r="H21" s="159">
        <f t="shared" si="1"/>
        <v>4.6519999999999868</v>
      </c>
    </row>
    <row r="22" spans="1:8" x14ac:dyDescent="0.2">
      <c r="A22" s="507" t="s">
        <v>254</v>
      </c>
      <c r="B22" s="507"/>
      <c r="C22" s="507"/>
      <c r="D22" s="115" t="s">
        <v>255</v>
      </c>
      <c r="E22" s="163">
        <v>1393</v>
      </c>
      <c r="F22" s="163">
        <v>1401.4069999999999</v>
      </c>
      <c r="G22" s="180">
        <f t="shared" si="0"/>
        <v>100.60351758793968</v>
      </c>
      <c r="H22" s="159">
        <f t="shared" si="1"/>
        <v>8.4069999999999254</v>
      </c>
    </row>
    <row r="23" spans="1:8" x14ac:dyDescent="0.2">
      <c r="A23" s="507" t="s">
        <v>352</v>
      </c>
      <c r="B23" s="507"/>
      <c r="C23" s="507"/>
      <c r="D23" s="115" t="s">
        <v>353</v>
      </c>
      <c r="E23" s="161">
        <f>E24+E25</f>
        <v>1223.9560000000001</v>
      </c>
      <c r="F23" s="161">
        <f>F24+F25</f>
        <v>1231.8130000000001</v>
      </c>
      <c r="G23" s="180">
        <f t="shared" si="0"/>
        <v>100.64193484079493</v>
      </c>
      <c r="H23" s="159">
        <f t="shared" si="1"/>
        <v>7.8569999999999709</v>
      </c>
    </row>
    <row r="24" spans="1:8" x14ac:dyDescent="0.2">
      <c r="A24" s="507" t="s">
        <v>354</v>
      </c>
      <c r="B24" s="507"/>
      <c r="C24" s="507"/>
      <c r="D24" s="115" t="s">
        <v>355</v>
      </c>
      <c r="E24" s="163">
        <v>600.95600000000002</v>
      </c>
      <c r="F24" s="163">
        <v>615.226</v>
      </c>
      <c r="G24" s="180">
        <f t="shared" si="0"/>
        <v>102.37454988385173</v>
      </c>
      <c r="H24" s="159">
        <f t="shared" si="1"/>
        <v>14.269999999999982</v>
      </c>
    </row>
    <row r="25" spans="1:8" x14ac:dyDescent="0.2">
      <c r="A25" s="507" t="s">
        <v>356</v>
      </c>
      <c r="B25" s="507"/>
      <c r="C25" s="507"/>
      <c r="D25" s="115" t="s">
        <v>357</v>
      </c>
      <c r="E25" s="163">
        <v>623</v>
      </c>
      <c r="F25" s="163">
        <v>616.58699999999999</v>
      </c>
      <c r="G25" s="180">
        <f t="shared" si="0"/>
        <v>98.97062600321027</v>
      </c>
      <c r="H25" s="159">
        <f t="shared" si="1"/>
        <v>-6.4130000000000109</v>
      </c>
    </row>
    <row r="26" spans="1:8" x14ac:dyDescent="0.2">
      <c r="A26" s="507" t="s">
        <v>256</v>
      </c>
      <c r="B26" s="507"/>
      <c r="C26" s="507"/>
      <c r="D26" s="115" t="s">
        <v>257</v>
      </c>
      <c r="E26" s="163">
        <f>E27+E28</f>
        <v>1103</v>
      </c>
      <c r="F26" s="163">
        <f>F27+F28</f>
        <v>1297.5709999999999</v>
      </c>
      <c r="G26" s="180">
        <f t="shared" si="0"/>
        <v>117.64016319129647</v>
      </c>
      <c r="H26" s="159">
        <f t="shared" si="1"/>
        <v>194.57099999999991</v>
      </c>
    </row>
    <row r="27" spans="1:8" ht="38.25" x14ac:dyDescent="0.2">
      <c r="A27" s="511" t="s">
        <v>258</v>
      </c>
      <c r="B27" s="511"/>
      <c r="C27" s="511"/>
      <c r="D27" s="164" t="s">
        <v>259</v>
      </c>
      <c r="E27" s="163">
        <v>1103</v>
      </c>
      <c r="F27" s="163">
        <v>1297.5709999999999</v>
      </c>
      <c r="G27" s="180">
        <f t="shared" si="0"/>
        <v>117.64016319129647</v>
      </c>
      <c r="H27" s="159">
        <f t="shared" si="1"/>
        <v>194.57099999999991</v>
      </c>
    </row>
    <row r="28" spans="1:8" ht="38.25" x14ac:dyDescent="0.2">
      <c r="A28" s="512" t="s">
        <v>358</v>
      </c>
      <c r="B28" s="512"/>
      <c r="C28" s="512"/>
      <c r="D28" s="164" t="s">
        <v>359</v>
      </c>
      <c r="E28" s="162"/>
      <c r="F28" s="163"/>
      <c r="G28" s="180"/>
      <c r="H28" s="159">
        <f t="shared" si="1"/>
        <v>0</v>
      </c>
    </row>
    <row r="29" spans="1:8" ht="25.5" x14ac:dyDescent="0.2">
      <c r="A29" s="507" t="s">
        <v>260</v>
      </c>
      <c r="B29" s="507"/>
      <c r="C29" s="507"/>
      <c r="D29" s="115" t="s">
        <v>261</v>
      </c>
      <c r="E29" s="163"/>
      <c r="F29" s="163"/>
      <c r="G29" s="180"/>
      <c r="H29" s="159">
        <f t="shared" si="1"/>
        <v>0</v>
      </c>
    </row>
    <row r="30" spans="1:8" ht="13.5" x14ac:dyDescent="0.2">
      <c r="A30" s="508"/>
      <c r="B30" s="508"/>
      <c r="C30" s="508"/>
      <c r="D30" s="160" t="s">
        <v>262</v>
      </c>
      <c r="E30" s="158">
        <f>E31+E38+E40+E43+E45+E58</f>
        <v>2355.991</v>
      </c>
      <c r="F30" s="158">
        <f>F31+F38+F40+F43+F45+F58</f>
        <v>2367.6060000000002</v>
      </c>
      <c r="G30" s="180">
        <f t="shared" ref="G30:G40" si="2">F30/E30*100</f>
        <v>100.49299848768523</v>
      </c>
      <c r="H30" s="159">
        <f t="shared" si="1"/>
        <v>11.615000000000236</v>
      </c>
    </row>
    <row r="31" spans="1:8" ht="25.5" x14ac:dyDescent="0.2">
      <c r="A31" s="510" t="s">
        <v>263</v>
      </c>
      <c r="B31" s="510"/>
      <c r="C31" s="510"/>
      <c r="D31" s="115" t="s">
        <v>264</v>
      </c>
      <c r="E31" s="162">
        <f>E32+E33+E34+E35+E36+E37</f>
        <v>966</v>
      </c>
      <c r="F31" s="162">
        <f>F32+F33+F34+F35+F36+F37</f>
        <v>973.44799999999998</v>
      </c>
      <c r="G31" s="180">
        <f t="shared" si="2"/>
        <v>100.77101449275364</v>
      </c>
      <c r="H31" s="159">
        <f t="shared" si="1"/>
        <v>7.4479999999999791</v>
      </c>
    </row>
    <row r="32" spans="1:8" ht="63.75" x14ac:dyDescent="0.2">
      <c r="A32" s="510" t="s">
        <v>360</v>
      </c>
      <c r="B32" s="510"/>
      <c r="C32" s="510"/>
      <c r="D32" s="115" t="s">
        <v>361</v>
      </c>
      <c r="E32" s="162">
        <v>742</v>
      </c>
      <c r="F32" s="162">
        <v>742.52599999999995</v>
      </c>
      <c r="G32" s="180">
        <f t="shared" si="2"/>
        <v>100.07088948787062</v>
      </c>
      <c r="H32" s="159">
        <f t="shared" si="1"/>
        <v>0.52599999999995362</v>
      </c>
    </row>
    <row r="33" spans="1:8" ht="63.75" x14ac:dyDescent="0.2">
      <c r="A33" s="510" t="s">
        <v>362</v>
      </c>
      <c r="B33" s="510"/>
      <c r="C33" s="510"/>
      <c r="D33" s="115" t="s">
        <v>363</v>
      </c>
      <c r="E33" s="162"/>
      <c r="F33" s="162"/>
      <c r="G33" s="180"/>
      <c r="H33" s="159">
        <f t="shared" si="1"/>
        <v>0</v>
      </c>
    </row>
    <row r="34" spans="1:8" ht="51" x14ac:dyDescent="0.2">
      <c r="A34" s="510" t="s">
        <v>265</v>
      </c>
      <c r="B34" s="510"/>
      <c r="C34" s="510"/>
      <c r="D34" s="115" t="s">
        <v>266</v>
      </c>
      <c r="E34" s="163">
        <v>9</v>
      </c>
      <c r="F34" s="163">
        <v>8.5169999999999995</v>
      </c>
      <c r="G34" s="180">
        <f t="shared" si="2"/>
        <v>94.633333333333326</v>
      </c>
      <c r="H34" s="159">
        <f t="shared" si="1"/>
        <v>-0.48300000000000054</v>
      </c>
    </row>
    <row r="35" spans="1:8" ht="51" x14ac:dyDescent="0.2">
      <c r="A35" s="510" t="s">
        <v>364</v>
      </c>
      <c r="B35" s="510"/>
      <c r="C35" s="510"/>
      <c r="D35" s="115" t="s">
        <v>365</v>
      </c>
      <c r="E35" s="163">
        <v>2</v>
      </c>
      <c r="F35" s="163">
        <v>1.9430000000000001</v>
      </c>
      <c r="G35" s="180"/>
      <c r="H35" s="159">
        <f t="shared" si="1"/>
        <v>-5.699999999999994E-2</v>
      </c>
    </row>
    <row r="36" spans="1:8" ht="51" x14ac:dyDescent="0.2">
      <c r="A36" s="510" t="s">
        <v>267</v>
      </c>
      <c r="B36" s="510"/>
      <c r="C36" s="510"/>
      <c r="D36" s="115" t="s">
        <v>268</v>
      </c>
      <c r="E36" s="163">
        <v>12</v>
      </c>
      <c r="F36" s="163">
        <v>12</v>
      </c>
      <c r="G36" s="180">
        <f t="shared" si="2"/>
        <v>100</v>
      </c>
      <c r="H36" s="159">
        <f t="shared" si="1"/>
        <v>0</v>
      </c>
    </row>
    <row r="37" spans="1:8" ht="51" x14ac:dyDescent="0.2">
      <c r="A37" s="511" t="s">
        <v>269</v>
      </c>
      <c r="B37" s="511"/>
      <c r="C37" s="511"/>
      <c r="D37" s="164" t="s">
        <v>270</v>
      </c>
      <c r="E37" s="163">
        <v>201</v>
      </c>
      <c r="F37" s="163">
        <v>208.46199999999999</v>
      </c>
      <c r="G37" s="180">
        <f t="shared" si="2"/>
        <v>103.71243781094526</v>
      </c>
      <c r="H37" s="159">
        <f t="shared" si="1"/>
        <v>7.4619999999999891</v>
      </c>
    </row>
    <row r="38" spans="1:8" x14ac:dyDescent="0.2">
      <c r="A38" s="510" t="s">
        <v>271</v>
      </c>
      <c r="B38" s="510"/>
      <c r="C38" s="510"/>
      <c r="D38" s="115" t="s">
        <v>272</v>
      </c>
      <c r="E38" s="162">
        <f>E39</f>
        <v>349</v>
      </c>
      <c r="F38" s="162">
        <f>F39</f>
        <v>351.99900000000002</v>
      </c>
      <c r="G38" s="180">
        <f t="shared" si="2"/>
        <v>100.85931232091691</v>
      </c>
      <c r="H38" s="159">
        <f t="shared" si="1"/>
        <v>2.9990000000000236</v>
      </c>
    </row>
    <row r="39" spans="1:8" x14ac:dyDescent="0.2">
      <c r="A39" s="510" t="s">
        <v>273</v>
      </c>
      <c r="B39" s="510"/>
      <c r="C39" s="510"/>
      <c r="D39" s="115" t="s">
        <v>274</v>
      </c>
      <c r="E39" s="163">
        <v>349</v>
      </c>
      <c r="F39" s="163">
        <v>351.99900000000002</v>
      </c>
      <c r="G39" s="180">
        <f t="shared" si="2"/>
        <v>100.85931232091691</v>
      </c>
      <c r="H39" s="159">
        <f t="shared" si="1"/>
        <v>2.9990000000000236</v>
      </c>
    </row>
    <row r="40" spans="1:8" ht="25.5" x14ac:dyDescent="0.2">
      <c r="A40" s="510" t="s">
        <v>275</v>
      </c>
      <c r="B40" s="510"/>
      <c r="C40" s="510"/>
      <c r="D40" s="115" t="s">
        <v>276</v>
      </c>
      <c r="E40" s="161">
        <f>E41+E42</f>
        <v>66</v>
      </c>
      <c r="F40" s="161">
        <f>F41+F42</f>
        <v>66.171999999999997</v>
      </c>
      <c r="G40" s="180">
        <f t="shared" si="2"/>
        <v>100.26060606060605</v>
      </c>
      <c r="H40" s="159">
        <f t="shared" si="1"/>
        <v>0.17199999999999704</v>
      </c>
    </row>
    <row r="41" spans="1:8" ht="25.5" x14ac:dyDescent="0.2">
      <c r="A41" s="510" t="s">
        <v>366</v>
      </c>
      <c r="B41" s="510"/>
      <c r="C41" s="510"/>
      <c r="D41" s="115" t="s">
        <v>367</v>
      </c>
      <c r="E41" s="162">
        <v>66</v>
      </c>
      <c r="F41" s="163">
        <v>66.171999999999997</v>
      </c>
      <c r="G41" s="180"/>
      <c r="H41" s="159">
        <f t="shared" si="1"/>
        <v>0.17199999999999704</v>
      </c>
    </row>
    <row r="42" spans="1:8" x14ac:dyDescent="0.2">
      <c r="A42" s="510" t="s">
        <v>277</v>
      </c>
      <c r="B42" s="510"/>
      <c r="C42" s="510"/>
      <c r="D42" s="115" t="s">
        <v>278</v>
      </c>
      <c r="E42" s="163"/>
      <c r="F42" s="163"/>
      <c r="G42" s="180"/>
      <c r="H42" s="159">
        <f t="shared" si="1"/>
        <v>0</v>
      </c>
    </row>
    <row r="43" spans="1:8" ht="25.5" x14ac:dyDescent="0.2">
      <c r="A43" s="510" t="s">
        <v>279</v>
      </c>
      <c r="B43" s="510"/>
      <c r="C43" s="510"/>
      <c r="D43" s="115" t="s">
        <v>280</v>
      </c>
      <c r="E43" s="161">
        <f>E44</f>
        <v>93</v>
      </c>
      <c r="F43" s="161">
        <f>F44</f>
        <v>92.975999999999999</v>
      </c>
      <c r="G43" s="180">
        <f t="shared" ref="G43:G88" si="3">F43/E43*100</f>
        <v>99.974193548387092</v>
      </c>
      <c r="H43" s="159">
        <f t="shared" si="1"/>
        <v>-2.4000000000000909E-2</v>
      </c>
    </row>
    <row r="44" spans="1:8" ht="38.25" x14ac:dyDescent="0.2">
      <c r="A44" s="510" t="s">
        <v>281</v>
      </c>
      <c r="B44" s="510"/>
      <c r="C44" s="510"/>
      <c r="D44" s="115" t="s">
        <v>282</v>
      </c>
      <c r="E44" s="163">
        <v>93</v>
      </c>
      <c r="F44" s="163">
        <v>92.975999999999999</v>
      </c>
      <c r="G44" s="180">
        <f t="shared" si="3"/>
        <v>99.974193548387092</v>
      </c>
      <c r="H44" s="159">
        <f t="shared" si="1"/>
        <v>-2.4000000000000909E-2</v>
      </c>
    </row>
    <row r="45" spans="1:8" x14ac:dyDescent="0.2">
      <c r="A45" s="510" t="s">
        <v>283</v>
      </c>
      <c r="B45" s="510"/>
      <c r="C45" s="510"/>
      <c r="D45" s="115" t="s">
        <v>284</v>
      </c>
      <c r="E45" s="161">
        <f>E46+E47+E48+E49+E50+E51+E52+E53+E54+E55+E56+E57</f>
        <v>724.99099999999987</v>
      </c>
      <c r="F45" s="161">
        <f>F46+F47+F48+F49+F50+F51+F52+F53+F54+F55+F56+F57</f>
        <v>725.98399999999992</v>
      </c>
      <c r="G45" s="180">
        <f t="shared" si="3"/>
        <v>100.1369672175241</v>
      </c>
      <c r="H45" s="159">
        <f t="shared" si="1"/>
        <v>0.99300000000005184</v>
      </c>
    </row>
    <row r="46" spans="1:8" ht="94.5" x14ac:dyDescent="0.25">
      <c r="A46" s="513" t="s">
        <v>767</v>
      </c>
      <c r="B46" s="514" t="s">
        <v>768</v>
      </c>
      <c r="C46" s="515" t="s">
        <v>768</v>
      </c>
      <c r="D46" s="183" t="s">
        <v>769</v>
      </c>
      <c r="E46" s="163">
        <v>4.6500000000000004</v>
      </c>
      <c r="F46" s="163">
        <v>4.6500000000000004</v>
      </c>
      <c r="G46" s="180">
        <f t="shared" si="3"/>
        <v>100</v>
      </c>
      <c r="H46" s="159">
        <f t="shared" si="1"/>
        <v>0</v>
      </c>
    </row>
    <row r="47" spans="1:8" ht="94.5" x14ac:dyDescent="0.25">
      <c r="A47" s="513" t="s">
        <v>770</v>
      </c>
      <c r="B47" s="514" t="s">
        <v>771</v>
      </c>
      <c r="C47" s="515" t="s">
        <v>771</v>
      </c>
      <c r="D47" s="183" t="s">
        <v>772</v>
      </c>
      <c r="E47" s="163">
        <v>10</v>
      </c>
      <c r="F47" s="163">
        <v>10</v>
      </c>
      <c r="G47" s="180">
        <f t="shared" si="3"/>
        <v>100</v>
      </c>
      <c r="H47" s="159">
        <f t="shared" si="1"/>
        <v>0</v>
      </c>
    </row>
    <row r="48" spans="1:8" ht="94.5" x14ac:dyDescent="0.25">
      <c r="A48" s="513" t="s">
        <v>773</v>
      </c>
      <c r="B48" s="514" t="s">
        <v>774</v>
      </c>
      <c r="C48" s="515" t="s">
        <v>774</v>
      </c>
      <c r="D48" s="183" t="s">
        <v>775</v>
      </c>
      <c r="E48" s="163">
        <v>15</v>
      </c>
      <c r="F48" s="163">
        <v>15</v>
      </c>
      <c r="G48" s="180">
        <f t="shared" si="3"/>
        <v>100</v>
      </c>
      <c r="H48" s="159">
        <f t="shared" si="1"/>
        <v>0</v>
      </c>
    </row>
    <row r="49" spans="1:24" ht="110.25" x14ac:dyDescent="0.25">
      <c r="A49" s="513" t="s">
        <v>776</v>
      </c>
      <c r="B49" s="514" t="s">
        <v>777</v>
      </c>
      <c r="C49" s="515" t="s">
        <v>777</v>
      </c>
      <c r="D49" s="183" t="s">
        <v>778</v>
      </c>
      <c r="E49" s="163">
        <v>2.75</v>
      </c>
      <c r="F49" s="163">
        <v>2.75</v>
      </c>
      <c r="G49" s="180">
        <f t="shared" si="3"/>
        <v>100</v>
      </c>
      <c r="H49" s="159">
        <f t="shared" si="1"/>
        <v>0</v>
      </c>
    </row>
    <row r="50" spans="1:24" ht="78.75" x14ac:dyDescent="0.25">
      <c r="A50" s="513" t="s">
        <v>779</v>
      </c>
      <c r="B50" s="514" t="s">
        <v>780</v>
      </c>
      <c r="C50" s="515" t="s">
        <v>780</v>
      </c>
      <c r="D50" s="183" t="s">
        <v>781</v>
      </c>
      <c r="E50" s="163">
        <v>8.1999999999999993</v>
      </c>
      <c r="F50" s="163">
        <v>8.1999999999999993</v>
      </c>
      <c r="G50" s="180">
        <f t="shared" si="3"/>
        <v>100</v>
      </c>
      <c r="H50" s="159">
        <f t="shared" si="1"/>
        <v>0</v>
      </c>
    </row>
    <row r="51" spans="1:24" ht="78.75" x14ac:dyDescent="0.25">
      <c r="A51" s="513" t="s">
        <v>782</v>
      </c>
      <c r="B51" s="514" t="s">
        <v>783</v>
      </c>
      <c r="C51" s="515" t="s">
        <v>783</v>
      </c>
      <c r="D51" s="183" t="s">
        <v>784</v>
      </c>
      <c r="E51" s="163">
        <v>527.89099999999996</v>
      </c>
      <c r="F51" s="163">
        <v>528.37599999999998</v>
      </c>
      <c r="G51" s="180">
        <f t="shared" si="3"/>
        <v>100.091875027231</v>
      </c>
      <c r="H51" s="159">
        <f t="shared" si="1"/>
        <v>0.48500000000001364</v>
      </c>
    </row>
    <row r="52" spans="1:24" ht="78.75" x14ac:dyDescent="0.25">
      <c r="A52" s="513" t="s">
        <v>785</v>
      </c>
      <c r="B52" s="514" t="s">
        <v>786</v>
      </c>
      <c r="C52" s="515" t="s">
        <v>786</v>
      </c>
      <c r="D52" s="183" t="s">
        <v>787</v>
      </c>
      <c r="E52" s="163">
        <v>0.8</v>
      </c>
      <c r="F52" s="163">
        <v>0.80900000000000005</v>
      </c>
      <c r="G52" s="180">
        <f t="shared" si="3"/>
        <v>101.125</v>
      </c>
      <c r="H52" s="159">
        <f t="shared" si="1"/>
        <v>9.000000000000008E-3</v>
      </c>
    </row>
    <row r="53" spans="1:24" ht="78.75" x14ac:dyDescent="0.25">
      <c r="A53" s="513" t="s">
        <v>788</v>
      </c>
      <c r="B53" s="514" t="s">
        <v>786</v>
      </c>
      <c r="C53" s="515" t="s">
        <v>786</v>
      </c>
      <c r="D53" s="183" t="s">
        <v>787</v>
      </c>
      <c r="E53" s="163">
        <v>6.5</v>
      </c>
      <c r="F53" s="163">
        <v>7</v>
      </c>
      <c r="G53" s="180">
        <f t="shared" si="3"/>
        <v>107.69230769230769</v>
      </c>
      <c r="H53" s="159">
        <f t="shared" si="1"/>
        <v>0.5</v>
      </c>
    </row>
    <row r="54" spans="1:24" ht="78.75" x14ac:dyDescent="0.25">
      <c r="A54" s="513" t="s">
        <v>788</v>
      </c>
      <c r="B54" s="514" t="s">
        <v>786</v>
      </c>
      <c r="C54" s="515" t="s">
        <v>786</v>
      </c>
      <c r="D54" s="183" t="s">
        <v>787</v>
      </c>
      <c r="E54" s="163">
        <v>141.5</v>
      </c>
      <c r="F54" s="163">
        <v>141.499</v>
      </c>
      <c r="G54" s="180">
        <f t="shared" si="3"/>
        <v>99.999293286219086</v>
      </c>
      <c r="H54" s="159">
        <f t="shared" si="1"/>
        <v>-1.0000000000047748E-3</v>
      </c>
    </row>
    <row r="55" spans="1:24" ht="78.75" x14ac:dyDescent="0.25">
      <c r="A55" s="513" t="s">
        <v>789</v>
      </c>
      <c r="B55" s="514" t="s">
        <v>786</v>
      </c>
      <c r="C55" s="515" t="s">
        <v>786</v>
      </c>
      <c r="D55" s="183" t="s">
        <v>787</v>
      </c>
      <c r="E55" s="163">
        <v>2.4</v>
      </c>
      <c r="F55" s="163">
        <v>2.4</v>
      </c>
      <c r="G55" s="180">
        <f t="shared" si="3"/>
        <v>100</v>
      </c>
      <c r="H55" s="159">
        <f t="shared" si="1"/>
        <v>0</v>
      </c>
    </row>
    <row r="56" spans="1:24" ht="78.75" x14ac:dyDescent="0.25">
      <c r="A56" s="513" t="s">
        <v>785</v>
      </c>
      <c r="B56" s="514" t="s">
        <v>786</v>
      </c>
      <c r="C56" s="515" t="s">
        <v>786</v>
      </c>
      <c r="D56" s="183" t="s">
        <v>787</v>
      </c>
      <c r="E56" s="163">
        <v>1.5</v>
      </c>
      <c r="F56" s="163">
        <v>1.5</v>
      </c>
      <c r="G56" s="180">
        <f t="shared" si="3"/>
        <v>100</v>
      </c>
      <c r="H56" s="159">
        <f t="shared" si="1"/>
        <v>0</v>
      </c>
    </row>
    <row r="57" spans="1:24" ht="78.75" x14ac:dyDescent="0.25">
      <c r="A57" s="513" t="s">
        <v>790</v>
      </c>
      <c r="B57" s="514" t="s">
        <v>791</v>
      </c>
      <c r="C57" s="515" t="s">
        <v>791</v>
      </c>
      <c r="D57" s="183" t="s">
        <v>792</v>
      </c>
      <c r="E57" s="163">
        <v>3.8</v>
      </c>
      <c r="F57" s="163">
        <v>3.8</v>
      </c>
      <c r="G57" s="180">
        <f t="shared" si="3"/>
        <v>100</v>
      </c>
      <c r="H57" s="159">
        <f t="shared" si="1"/>
        <v>0</v>
      </c>
    </row>
    <row r="58" spans="1:24" x14ac:dyDescent="0.2">
      <c r="A58" s="519" t="s">
        <v>368</v>
      </c>
      <c r="B58" s="519"/>
      <c r="C58" s="519"/>
      <c r="D58" s="165" t="s">
        <v>369</v>
      </c>
      <c r="E58" s="161">
        <f>E59</f>
        <v>157</v>
      </c>
      <c r="F58" s="161">
        <f>F59</f>
        <v>157.02699999999999</v>
      </c>
      <c r="G58" s="180">
        <f t="shared" si="3"/>
        <v>100.0171974522293</v>
      </c>
      <c r="H58" s="159">
        <f t="shared" si="1"/>
        <v>2.6999999999986812E-2</v>
      </c>
    </row>
    <row r="59" spans="1:24" ht="25.5" x14ac:dyDescent="0.2">
      <c r="A59" s="519" t="s">
        <v>370</v>
      </c>
      <c r="B59" s="519"/>
      <c r="C59" s="519"/>
      <c r="D59" s="165" t="s">
        <v>371</v>
      </c>
      <c r="E59" s="161">
        <v>157</v>
      </c>
      <c r="F59" s="163">
        <v>157.02699999999999</v>
      </c>
      <c r="G59" s="180">
        <f t="shared" si="3"/>
        <v>100.0171974522293</v>
      </c>
      <c r="H59" s="159">
        <f t="shared" si="1"/>
        <v>2.6999999999986812E-2</v>
      </c>
      <c r="X59" s="179"/>
    </row>
    <row r="60" spans="1:24" ht="12.75" customHeight="1" x14ac:dyDescent="0.2">
      <c r="A60" s="520" t="s">
        <v>285</v>
      </c>
      <c r="B60" s="521"/>
      <c r="C60" s="522"/>
      <c r="D60" s="112" t="s">
        <v>286</v>
      </c>
      <c r="E60" s="161">
        <f>E10</f>
        <v>48378.947</v>
      </c>
      <c r="F60" s="161">
        <f>F10</f>
        <v>48563.228000000003</v>
      </c>
      <c r="G60" s="180">
        <f t="shared" si="3"/>
        <v>100.38091155642557</v>
      </c>
      <c r="H60" s="159">
        <f t="shared" si="1"/>
        <v>184.28100000000268</v>
      </c>
    </row>
    <row r="61" spans="1:24" ht="12.75" customHeight="1" x14ac:dyDescent="0.2">
      <c r="A61" s="523" t="s">
        <v>372</v>
      </c>
      <c r="B61" s="524"/>
      <c r="C61" s="525"/>
      <c r="D61" s="166" t="s">
        <v>287</v>
      </c>
      <c r="E61" s="167">
        <f>E62</f>
        <v>663618.22000000009</v>
      </c>
      <c r="F61" s="167">
        <f>F62</f>
        <v>652881.50200000009</v>
      </c>
      <c r="G61" s="180">
        <f t="shared" si="3"/>
        <v>98.382094150458983</v>
      </c>
      <c r="H61" s="159">
        <f t="shared" si="1"/>
        <v>-10736.717999999993</v>
      </c>
    </row>
    <row r="62" spans="1:24" ht="12.75" customHeight="1" x14ac:dyDescent="0.2">
      <c r="A62" s="516" t="s">
        <v>373</v>
      </c>
      <c r="B62" s="517" t="s">
        <v>373</v>
      </c>
      <c r="C62" s="518" t="s">
        <v>373</v>
      </c>
      <c r="D62" s="168" t="s">
        <v>288</v>
      </c>
      <c r="E62" s="169">
        <f>E63+E66+E75+E85</f>
        <v>663618.22000000009</v>
      </c>
      <c r="F62" s="169">
        <f>F63+F66+F75+F85</f>
        <v>652881.50200000009</v>
      </c>
      <c r="G62" s="180">
        <f t="shared" si="3"/>
        <v>98.382094150458983</v>
      </c>
      <c r="H62" s="159">
        <f t="shared" si="1"/>
        <v>-10736.717999999993</v>
      </c>
    </row>
    <row r="63" spans="1:24" ht="12.75" customHeight="1" x14ac:dyDescent="0.2">
      <c r="A63" s="516" t="s">
        <v>793</v>
      </c>
      <c r="B63" s="517" t="s">
        <v>793</v>
      </c>
      <c r="C63" s="518" t="s">
        <v>793</v>
      </c>
      <c r="D63" s="166" t="s">
        <v>289</v>
      </c>
      <c r="E63" s="169">
        <f>E64+E65</f>
        <v>159729.136</v>
      </c>
      <c r="F63" s="169">
        <f>F64+F65</f>
        <v>159729.136</v>
      </c>
      <c r="G63" s="180">
        <f t="shared" si="3"/>
        <v>100</v>
      </c>
      <c r="H63" s="159">
        <f t="shared" si="1"/>
        <v>0</v>
      </c>
      <c r="M63" s="152">
        <v>135964.20000000001</v>
      </c>
      <c r="N63" s="152">
        <v>135964.20000000001</v>
      </c>
    </row>
    <row r="64" spans="1:24" ht="29.25" customHeight="1" x14ac:dyDescent="0.2">
      <c r="A64" s="516" t="s">
        <v>794</v>
      </c>
      <c r="B64" s="517" t="s">
        <v>794</v>
      </c>
      <c r="C64" s="518" t="s">
        <v>794</v>
      </c>
      <c r="D64" s="168" t="s">
        <v>795</v>
      </c>
      <c r="E64" s="170">
        <v>146006.70000000001</v>
      </c>
      <c r="F64" s="170">
        <v>146006.70000000001</v>
      </c>
      <c r="G64" s="180">
        <f t="shared" si="3"/>
        <v>100</v>
      </c>
      <c r="H64" s="159">
        <f t="shared" si="1"/>
        <v>0</v>
      </c>
      <c r="M64" s="152">
        <v>121178.6</v>
      </c>
      <c r="N64" s="152">
        <v>121178.6</v>
      </c>
    </row>
    <row r="65" spans="1:14" ht="25.5" x14ac:dyDescent="0.2">
      <c r="A65" s="516" t="s">
        <v>796</v>
      </c>
      <c r="B65" s="517" t="s">
        <v>796</v>
      </c>
      <c r="C65" s="518" t="s">
        <v>796</v>
      </c>
      <c r="D65" s="168" t="s">
        <v>374</v>
      </c>
      <c r="E65" s="170">
        <v>13722.436</v>
      </c>
      <c r="F65" s="170">
        <v>13722.436</v>
      </c>
      <c r="G65" s="180">
        <f t="shared" si="3"/>
        <v>100</v>
      </c>
      <c r="H65" s="159">
        <f t="shared" si="1"/>
        <v>0</v>
      </c>
      <c r="M65" s="152">
        <v>14785.6</v>
      </c>
      <c r="N65" s="152">
        <v>14785.6</v>
      </c>
    </row>
    <row r="66" spans="1:14" x14ac:dyDescent="0.2">
      <c r="A66" s="516" t="s">
        <v>797</v>
      </c>
      <c r="B66" s="517" t="s">
        <v>797</v>
      </c>
      <c r="C66" s="518" t="s">
        <v>797</v>
      </c>
      <c r="D66" s="166" t="s">
        <v>290</v>
      </c>
      <c r="E66" s="169">
        <f>E67+E68+E69+E70+E71+E72+E73+E74</f>
        <v>68701.438000000009</v>
      </c>
      <c r="F66" s="169">
        <f>F67+F68+F69+F70+F71+F72+F73+F74</f>
        <v>60844.184000000001</v>
      </c>
      <c r="G66" s="180">
        <f t="shared" si="3"/>
        <v>88.563188444468949</v>
      </c>
      <c r="H66" s="159">
        <f t="shared" si="1"/>
        <v>-7857.2540000000081</v>
      </c>
      <c r="M66" s="152">
        <v>46342.9</v>
      </c>
      <c r="N66" s="152">
        <v>45140.714000000014</v>
      </c>
    </row>
    <row r="67" spans="1:14" ht="38.25" x14ac:dyDescent="0.2">
      <c r="A67" s="516" t="s">
        <v>798</v>
      </c>
      <c r="B67" s="517" t="s">
        <v>799</v>
      </c>
      <c r="C67" s="518" t="s">
        <v>799</v>
      </c>
      <c r="D67" s="168" t="s">
        <v>800</v>
      </c>
      <c r="E67" s="169">
        <v>1700</v>
      </c>
      <c r="F67" s="181">
        <v>1700</v>
      </c>
      <c r="G67" s="180">
        <f t="shared" si="3"/>
        <v>100</v>
      </c>
      <c r="H67" s="159">
        <f t="shared" si="1"/>
        <v>0</v>
      </c>
      <c r="M67" s="152">
        <v>1176</v>
      </c>
      <c r="N67" s="152">
        <v>1176</v>
      </c>
    </row>
    <row r="68" spans="1:14" ht="51" x14ac:dyDescent="0.2">
      <c r="A68" s="516" t="s">
        <v>801</v>
      </c>
      <c r="B68" s="517" t="s">
        <v>802</v>
      </c>
      <c r="C68" s="518" t="s">
        <v>802</v>
      </c>
      <c r="D68" s="168" t="s">
        <v>803</v>
      </c>
      <c r="E68" s="172">
        <v>3786.4160000000002</v>
      </c>
      <c r="F68" s="171">
        <v>3786.4</v>
      </c>
      <c r="G68" s="180">
        <f t="shared" si="3"/>
        <v>99.999577436816239</v>
      </c>
      <c r="H68" s="159">
        <f t="shared" si="1"/>
        <v>-1.6000000000076398E-2</v>
      </c>
      <c r="M68" s="152">
        <v>21286.5</v>
      </c>
      <c r="N68" s="152">
        <v>20144.396000000001</v>
      </c>
    </row>
    <row r="69" spans="1:14" ht="51" x14ac:dyDescent="0.2">
      <c r="A69" s="516" t="s">
        <v>804</v>
      </c>
      <c r="B69" s="517" t="s">
        <v>805</v>
      </c>
      <c r="C69" s="518" t="s">
        <v>805</v>
      </c>
      <c r="D69" s="168" t="s">
        <v>806</v>
      </c>
      <c r="E69" s="172">
        <v>1670</v>
      </c>
      <c r="F69" s="171">
        <v>1670</v>
      </c>
      <c r="G69" s="180">
        <f t="shared" si="3"/>
        <v>100</v>
      </c>
      <c r="H69" s="159">
        <f t="shared" si="1"/>
        <v>0</v>
      </c>
      <c r="M69" s="152">
        <v>11212.8</v>
      </c>
      <c r="N69" s="152">
        <v>11212.8</v>
      </c>
    </row>
    <row r="70" spans="1:14" ht="25.5" x14ac:dyDescent="0.2">
      <c r="A70" s="516" t="s">
        <v>807</v>
      </c>
      <c r="B70" s="517" t="s">
        <v>808</v>
      </c>
      <c r="C70" s="518" t="s">
        <v>808</v>
      </c>
      <c r="D70" s="168" t="s">
        <v>809</v>
      </c>
      <c r="E70" s="172">
        <v>1212</v>
      </c>
      <c r="F70" s="171">
        <v>1212</v>
      </c>
      <c r="G70" s="180">
        <f t="shared" si="3"/>
        <v>100</v>
      </c>
      <c r="H70" s="159">
        <f t="shared" si="1"/>
        <v>0</v>
      </c>
      <c r="M70" s="152">
        <v>1342.1</v>
      </c>
      <c r="N70" s="152">
        <v>1342.1</v>
      </c>
    </row>
    <row r="71" spans="1:14" ht="25.5" x14ac:dyDescent="0.2">
      <c r="A71" s="516" t="s">
        <v>810</v>
      </c>
      <c r="B71" s="517" t="s">
        <v>811</v>
      </c>
      <c r="C71" s="518" t="s">
        <v>811</v>
      </c>
      <c r="D71" s="168" t="s">
        <v>812</v>
      </c>
      <c r="E71" s="172">
        <v>950</v>
      </c>
      <c r="F71" s="171">
        <v>950</v>
      </c>
      <c r="G71" s="180">
        <f t="shared" si="3"/>
        <v>100</v>
      </c>
      <c r="H71" s="159">
        <f t="shared" si="1"/>
        <v>0</v>
      </c>
      <c r="M71" s="152">
        <v>3000</v>
      </c>
      <c r="N71" s="152">
        <v>3000</v>
      </c>
    </row>
    <row r="72" spans="1:14" ht="25.5" x14ac:dyDescent="0.2">
      <c r="A72" s="516" t="s">
        <v>813</v>
      </c>
      <c r="B72" s="517" t="s">
        <v>814</v>
      </c>
      <c r="C72" s="518" t="s">
        <v>814</v>
      </c>
      <c r="D72" s="168" t="s">
        <v>815</v>
      </c>
      <c r="E72" s="172">
        <v>8000</v>
      </c>
      <c r="F72" s="171">
        <v>8000</v>
      </c>
      <c r="G72" s="180">
        <f t="shared" si="3"/>
        <v>100</v>
      </c>
      <c r="H72" s="159">
        <f t="shared" si="1"/>
        <v>0</v>
      </c>
      <c r="M72" s="152">
        <v>4241.2</v>
      </c>
      <c r="N72" s="152">
        <v>4241.16</v>
      </c>
    </row>
    <row r="73" spans="1:14" ht="51" x14ac:dyDescent="0.2">
      <c r="A73" s="516" t="s">
        <v>816</v>
      </c>
      <c r="B73" s="517" t="s">
        <v>817</v>
      </c>
      <c r="C73" s="518" t="s">
        <v>817</v>
      </c>
      <c r="D73" s="168" t="s">
        <v>818</v>
      </c>
      <c r="E73" s="172">
        <v>3403.4</v>
      </c>
      <c r="F73" s="171">
        <v>3403.3980000000001</v>
      </c>
      <c r="G73" s="180">
        <f t="shared" si="3"/>
        <v>99.999941235235354</v>
      </c>
      <c r="H73" s="159">
        <f t="shared" si="1"/>
        <v>-1.9999999999527063E-3</v>
      </c>
      <c r="M73" s="152">
        <v>2146.1999999999998</v>
      </c>
      <c r="N73" s="152">
        <v>2146.16</v>
      </c>
    </row>
    <row r="74" spans="1:14" x14ac:dyDescent="0.2">
      <c r="A74" s="516" t="s">
        <v>819</v>
      </c>
      <c r="B74" s="517" t="s">
        <v>820</v>
      </c>
      <c r="C74" s="518" t="s">
        <v>820</v>
      </c>
      <c r="D74" s="168" t="s">
        <v>821</v>
      </c>
      <c r="E74" s="172">
        <v>47979.622000000003</v>
      </c>
      <c r="F74" s="171">
        <v>40122.385999999999</v>
      </c>
      <c r="G74" s="180">
        <f t="shared" si="3"/>
        <v>83.623805956620487</v>
      </c>
      <c r="H74" s="159">
        <f t="shared" si="1"/>
        <v>-7857.2360000000044</v>
      </c>
      <c r="M74" s="152">
        <v>60</v>
      </c>
    </row>
    <row r="75" spans="1:14" x14ac:dyDescent="0.2">
      <c r="A75" s="523" t="s">
        <v>822</v>
      </c>
      <c r="B75" s="524" t="s">
        <v>822</v>
      </c>
      <c r="C75" s="525" t="s">
        <v>822</v>
      </c>
      <c r="D75" s="166" t="s">
        <v>292</v>
      </c>
      <c r="E75" s="424">
        <f>E76+E77+E78+E79+E80+E81+E82+E83+E84</f>
        <v>428907.03500000003</v>
      </c>
      <c r="F75" s="424">
        <f>F76+F77+F78+F79+F80+F81+F82+F83+F84</f>
        <v>426369.99700000003</v>
      </c>
      <c r="G75" s="180">
        <f t="shared" si="3"/>
        <v>99.408487669128576</v>
      </c>
      <c r="H75" s="159">
        <f t="shared" si="1"/>
        <v>-2537.0380000000005</v>
      </c>
      <c r="M75" s="152">
        <v>327030.50000000006</v>
      </c>
      <c r="N75" s="152">
        <v>324513.89000000013</v>
      </c>
    </row>
    <row r="76" spans="1:14" ht="25.5" x14ac:dyDescent="0.2">
      <c r="A76" s="516" t="s">
        <v>823</v>
      </c>
      <c r="B76" s="517" t="s">
        <v>734</v>
      </c>
      <c r="C76" s="518" t="s">
        <v>734</v>
      </c>
      <c r="D76" s="168" t="s">
        <v>735</v>
      </c>
      <c r="E76" s="173">
        <v>6920</v>
      </c>
      <c r="F76" s="173">
        <v>6920</v>
      </c>
      <c r="G76" s="180">
        <f t="shared" si="3"/>
        <v>100</v>
      </c>
      <c r="H76" s="159">
        <f t="shared" si="1"/>
        <v>0</v>
      </c>
    </row>
    <row r="77" spans="1:14" ht="25.5" x14ac:dyDescent="0.2">
      <c r="A77" s="516" t="s">
        <v>824</v>
      </c>
      <c r="B77" s="517" t="s">
        <v>825</v>
      </c>
      <c r="C77" s="518" t="s">
        <v>825</v>
      </c>
      <c r="D77" s="168" t="s">
        <v>737</v>
      </c>
      <c r="E77" s="169">
        <v>302548.63799999998</v>
      </c>
      <c r="F77" s="171">
        <v>302500.67599999998</v>
      </c>
      <c r="G77" s="180">
        <f t="shared" si="3"/>
        <v>99.984147342286164</v>
      </c>
      <c r="H77" s="159">
        <f t="shared" ref="H77:H88" si="4">F77-E77</f>
        <v>-47.961999999999534</v>
      </c>
      <c r="M77" s="152">
        <v>204813</v>
      </c>
      <c r="N77" s="152">
        <v>203551.5</v>
      </c>
    </row>
    <row r="78" spans="1:14" ht="38.25" x14ac:dyDescent="0.2">
      <c r="A78" s="516" t="s">
        <v>826</v>
      </c>
      <c r="B78" s="517" t="s">
        <v>827</v>
      </c>
      <c r="C78" s="518" t="s">
        <v>827</v>
      </c>
      <c r="D78" s="168" t="s">
        <v>755</v>
      </c>
      <c r="E78" s="172">
        <v>5693.4539999999997</v>
      </c>
      <c r="F78" s="171">
        <v>5693.4539999999997</v>
      </c>
      <c r="G78" s="180">
        <f t="shared" si="3"/>
        <v>100</v>
      </c>
      <c r="H78" s="159">
        <f t="shared" si="4"/>
        <v>0</v>
      </c>
      <c r="M78" s="152">
        <v>58086.2</v>
      </c>
      <c r="N78" s="152">
        <v>57570.2</v>
      </c>
    </row>
    <row r="79" spans="1:14" ht="38.25" x14ac:dyDescent="0.2">
      <c r="A79" s="516" t="s">
        <v>828</v>
      </c>
      <c r="B79" s="517" t="s">
        <v>829</v>
      </c>
      <c r="C79" s="518" t="s">
        <v>829</v>
      </c>
      <c r="D79" s="164" t="s">
        <v>741</v>
      </c>
      <c r="E79" s="174">
        <v>1293.8</v>
      </c>
      <c r="F79" s="175">
        <v>1293.8</v>
      </c>
      <c r="G79" s="180">
        <f t="shared" si="3"/>
        <v>100</v>
      </c>
      <c r="H79" s="159">
        <f t="shared" si="4"/>
        <v>0</v>
      </c>
      <c r="M79" s="152">
        <v>6206.2</v>
      </c>
      <c r="N79" s="152">
        <v>6206.2</v>
      </c>
    </row>
    <row r="80" spans="1:14" ht="38.25" x14ac:dyDescent="0.2">
      <c r="A80" s="516" t="s">
        <v>830</v>
      </c>
      <c r="B80" s="517" t="s">
        <v>831</v>
      </c>
      <c r="C80" s="518" t="s">
        <v>831</v>
      </c>
      <c r="D80" s="168" t="s">
        <v>832</v>
      </c>
      <c r="E80" s="174">
        <v>22.4</v>
      </c>
      <c r="F80" s="175">
        <v>22.4</v>
      </c>
      <c r="G80" s="180">
        <f t="shared" si="3"/>
        <v>100</v>
      </c>
      <c r="H80" s="159">
        <f t="shared" si="4"/>
        <v>0</v>
      </c>
      <c r="M80" s="152">
        <v>4145.3999999999996</v>
      </c>
      <c r="N80" s="152">
        <v>4125.7659999999996</v>
      </c>
    </row>
    <row r="81" spans="1:23" ht="25.5" x14ac:dyDescent="0.2">
      <c r="A81" s="516" t="s">
        <v>833</v>
      </c>
      <c r="B81" s="517" t="s">
        <v>834</v>
      </c>
      <c r="C81" s="518" t="s">
        <v>834</v>
      </c>
      <c r="D81" s="168" t="s">
        <v>747</v>
      </c>
      <c r="E81" s="174">
        <v>6458</v>
      </c>
      <c r="F81" s="175">
        <v>6458</v>
      </c>
      <c r="G81" s="180">
        <f t="shared" si="3"/>
        <v>100</v>
      </c>
      <c r="H81" s="159">
        <f t="shared" si="4"/>
        <v>0</v>
      </c>
      <c r="M81" s="152">
        <v>5401.3</v>
      </c>
      <c r="N81" s="152">
        <v>5382.7979999999998</v>
      </c>
    </row>
    <row r="82" spans="1:23" ht="25.5" x14ac:dyDescent="0.2">
      <c r="A82" s="516" t="s">
        <v>835</v>
      </c>
      <c r="B82" s="517" t="s">
        <v>836</v>
      </c>
      <c r="C82" s="518" t="s">
        <v>836</v>
      </c>
      <c r="D82" s="168" t="s">
        <v>837</v>
      </c>
      <c r="E82" s="176">
        <v>65063.544999999998</v>
      </c>
      <c r="F82" s="175">
        <v>64675.487999999998</v>
      </c>
      <c r="G82" s="180">
        <f t="shared" si="3"/>
        <v>99.403572307657072</v>
      </c>
      <c r="H82" s="159">
        <f t="shared" si="4"/>
        <v>-388.0570000000007</v>
      </c>
      <c r="M82" s="152">
        <v>138.80000000000001</v>
      </c>
      <c r="N82" s="152">
        <v>138.80000000000001</v>
      </c>
    </row>
    <row r="83" spans="1:23" ht="63.75" x14ac:dyDescent="0.2">
      <c r="A83" s="516" t="s">
        <v>838</v>
      </c>
      <c r="B83" s="517" t="s">
        <v>839</v>
      </c>
      <c r="C83" s="518" t="s">
        <v>839</v>
      </c>
      <c r="D83" s="168" t="s">
        <v>749</v>
      </c>
      <c r="E83" s="176">
        <v>22572.498</v>
      </c>
      <c r="F83" s="175">
        <v>20523.163</v>
      </c>
      <c r="G83" s="180">
        <f t="shared" si="3"/>
        <v>90.921097877603103</v>
      </c>
      <c r="H83" s="159">
        <f t="shared" si="4"/>
        <v>-2049.3349999999991</v>
      </c>
      <c r="M83" s="152">
        <v>71.7</v>
      </c>
      <c r="N83" s="152">
        <v>71.7</v>
      </c>
    </row>
    <row r="84" spans="1:23" ht="29.25" customHeight="1" x14ac:dyDescent="0.2">
      <c r="A84" s="516" t="s">
        <v>840</v>
      </c>
      <c r="B84" s="517" t="s">
        <v>841</v>
      </c>
      <c r="C84" s="518" t="s">
        <v>841</v>
      </c>
      <c r="D84" s="177" t="s">
        <v>842</v>
      </c>
      <c r="E84" s="174">
        <v>18334.7</v>
      </c>
      <c r="F84" s="175">
        <v>18283.016</v>
      </c>
      <c r="G84" s="180">
        <f t="shared" si="3"/>
        <v>99.718108286473182</v>
      </c>
      <c r="H84" s="159">
        <f t="shared" si="4"/>
        <v>-51.684000000001106</v>
      </c>
      <c r="M84" s="152">
        <v>1229.2</v>
      </c>
      <c r="N84" s="152">
        <v>1229.2</v>
      </c>
    </row>
    <row r="85" spans="1:23" x14ac:dyDescent="0.2">
      <c r="A85" s="523" t="s">
        <v>843</v>
      </c>
      <c r="B85" s="524" t="s">
        <v>843</v>
      </c>
      <c r="C85" s="525" t="s">
        <v>843</v>
      </c>
      <c r="D85" s="78" t="s">
        <v>207</v>
      </c>
      <c r="E85" s="125">
        <f>E86+E87</f>
        <v>6280.6109999999999</v>
      </c>
      <c r="F85" s="125">
        <f>F86+F87</f>
        <v>5938.1850000000004</v>
      </c>
      <c r="G85" s="180">
        <f t="shared" si="3"/>
        <v>94.547887140279826</v>
      </c>
      <c r="H85" s="159">
        <f t="shared" si="4"/>
        <v>-342.42599999999948</v>
      </c>
      <c r="M85" s="152">
        <v>188.63499999999999</v>
      </c>
      <c r="N85" s="152">
        <v>188.6</v>
      </c>
      <c r="W85" s="179"/>
    </row>
    <row r="86" spans="1:23" ht="51" x14ac:dyDescent="0.2">
      <c r="A86" s="516" t="s">
        <v>844</v>
      </c>
      <c r="B86" s="517"/>
      <c r="C86" s="518"/>
      <c r="D86" s="150" t="s">
        <v>293</v>
      </c>
      <c r="E86" s="174">
        <v>200</v>
      </c>
      <c r="F86" s="175">
        <v>200</v>
      </c>
      <c r="G86" s="180">
        <f t="shared" si="3"/>
        <v>100</v>
      </c>
      <c r="H86" s="159">
        <f t="shared" si="4"/>
        <v>0</v>
      </c>
      <c r="M86" s="152">
        <v>188.63499999999999</v>
      </c>
      <c r="N86" s="152">
        <v>188.6</v>
      </c>
    </row>
    <row r="87" spans="1:23" ht="51" x14ac:dyDescent="0.2">
      <c r="A87" s="516" t="s">
        <v>845</v>
      </c>
      <c r="B87" s="517" t="s">
        <v>846</v>
      </c>
      <c r="C87" s="518" t="s">
        <v>846</v>
      </c>
      <c r="D87" s="150" t="s">
        <v>847</v>
      </c>
      <c r="E87" s="174">
        <v>6080.6109999999999</v>
      </c>
      <c r="F87" s="175">
        <v>5738.1850000000004</v>
      </c>
      <c r="G87" s="180"/>
      <c r="H87" s="159"/>
    </row>
    <row r="88" spans="1:23" x14ac:dyDescent="0.2">
      <c r="A88" s="516"/>
      <c r="B88" s="517"/>
      <c r="C88" s="518"/>
      <c r="D88" s="355" t="s">
        <v>294</v>
      </c>
      <c r="E88" s="178">
        <f>E60++E61</f>
        <v>711997.16700000013</v>
      </c>
      <c r="F88" s="178">
        <f>F60++F61</f>
        <v>701444.7300000001</v>
      </c>
      <c r="G88" s="180">
        <f t="shared" si="3"/>
        <v>98.517910254550216</v>
      </c>
      <c r="H88" s="159">
        <f t="shared" si="4"/>
        <v>-10552.437000000034</v>
      </c>
    </row>
  </sheetData>
  <mergeCells count="85">
    <mergeCell ref="A88:C88"/>
    <mergeCell ref="A82:C82"/>
    <mergeCell ref="A83:C83"/>
    <mergeCell ref="A84:C84"/>
    <mergeCell ref="A85:C85"/>
    <mergeCell ref="A86:C86"/>
    <mergeCell ref="A87:C87"/>
    <mergeCell ref="A81:C81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69:C69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F1:H1"/>
    <mergeCell ref="F3:H3"/>
    <mergeCell ref="A5:H5"/>
    <mergeCell ref="A8:C8"/>
    <mergeCell ref="F2:H2"/>
  </mergeCells>
  <pageMargins left="0.59055118110236227" right="0.19685039370078741" top="0.39370078740157483" bottom="0.3937007874015748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8"/>
  <sheetViews>
    <sheetView view="pageBreakPreview" zoomScale="60" zoomScaleNormal="100" workbookViewId="0">
      <selection activeCell="A11" sqref="A11:F11"/>
    </sheetView>
  </sheetViews>
  <sheetFormatPr defaultRowHeight="15" x14ac:dyDescent="0.25"/>
  <cols>
    <col min="1" max="1" width="30.85546875" style="359" customWidth="1"/>
    <col min="2" max="2" width="57.85546875" style="359" customWidth="1"/>
    <col min="3" max="3" width="13.5703125" style="359" customWidth="1"/>
    <col min="4" max="4" width="14.5703125" style="359" customWidth="1"/>
    <col min="5" max="5" width="14.85546875" style="359" customWidth="1"/>
    <col min="6" max="6" width="11.42578125" style="359" customWidth="1"/>
    <col min="7" max="7" width="7.42578125" style="359" customWidth="1"/>
    <col min="8" max="256" width="9.140625" style="359"/>
    <col min="257" max="257" width="30.85546875" style="359" customWidth="1"/>
    <col min="258" max="258" width="57.85546875" style="359" customWidth="1"/>
    <col min="259" max="259" width="13.5703125" style="359" customWidth="1"/>
    <col min="260" max="260" width="14.5703125" style="359" customWidth="1"/>
    <col min="261" max="261" width="14.85546875" style="359" customWidth="1"/>
    <col min="262" max="262" width="11.42578125" style="359" customWidth="1"/>
    <col min="263" max="263" width="7.42578125" style="359" customWidth="1"/>
    <col min="264" max="512" width="9.140625" style="359"/>
    <col min="513" max="513" width="30.85546875" style="359" customWidth="1"/>
    <col min="514" max="514" width="57.85546875" style="359" customWidth="1"/>
    <col min="515" max="515" width="13.5703125" style="359" customWidth="1"/>
    <col min="516" max="516" width="14.5703125" style="359" customWidth="1"/>
    <col min="517" max="517" width="14.85546875" style="359" customWidth="1"/>
    <col min="518" max="518" width="11.42578125" style="359" customWidth="1"/>
    <col min="519" max="519" width="7.42578125" style="359" customWidth="1"/>
    <col min="520" max="768" width="9.140625" style="359"/>
    <col min="769" max="769" width="30.85546875" style="359" customWidth="1"/>
    <col min="770" max="770" width="57.85546875" style="359" customWidth="1"/>
    <col min="771" max="771" width="13.5703125" style="359" customWidth="1"/>
    <col min="772" max="772" width="14.5703125" style="359" customWidth="1"/>
    <col min="773" max="773" width="14.85546875" style="359" customWidth="1"/>
    <col min="774" max="774" width="11.42578125" style="359" customWidth="1"/>
    <col min="775" max="775" width="7.42578125" style="359" customWidth="1"/>
    <col min="776" max="1024" width="9.140625" style="359"/>
    <col min="1025" max="1025" width="30.85546875" style="359" customWidth="1"/>
    <col min="1026" max="1026" width="57.85546875" style="359" customWidth="1"/>
    <col min="1027" max="1027" width="13.5703125" style="359" customWidth="1"/>
    <col min="1028" max="1028" width="14.5703125" style="359" customWidth="1"/>
    <col min="1029" max="1029" width="14.85546875" style="359" customWidth="1"/>
    <col min="1030" max="1030" width="11.42578125" style="359" customWidth="1"/>
    <col min="1031" max="1031" width="7.42578125" style="359" customWidth="1"/>
    <col min="1032" max="1280" width="9.140625" style="359"/>
    <col min="1281" max="1281" width="30.85546875" style="359" customWidth="1"/>
    <col min="1282" max="1282" width="57.85546875" style="359" customWidth="1"/>
    <col min="1283" max="1283" width="13.5703125" style="359" customWidth="1"/>
    <col min="1284" max="1284" width="14.5703125" style="359" customWidth="1"/>
    <col min="1285" max="1285" width="14.85546875" style="359" customWidth="1"/>
    <col min="1286" max="1286" width="11.42578125" style="359" customWidth="1"/>
    <col min="1287" max="1287" width="7.42578125" style="359" customWidth="1"/>
    <col min="1288" max="1536" width="9.140625" style="359"/>
    <col min="1537" max="1537" width="30.85546875" style="359" customWidth="1"/>
    <col min="1538" max="1538" width="57.85546875" style="359" customWidth="1"/>
    <col min="1539" max="1539" width="13.5703125" style="359" customWidth="1"/>
    <col min="1540" max="1540" width="14.5703125" style="359" customWidth="1"/>
    <col min="1541" max="1541" width="14.85546875" style="359" customWidth="1"/>
    <col min="1542" max="1542" width="11.42578125" style="359" customWidth="1"/>
    <col min="1543" max="1543" width="7.42578125" style="359" customWidth="1"/>
    <col min="1544" max="1792" width="9.140625" style="359"/>
    <col min="1793" max="1793" width="30.85546875" style="359" customWidth="1"/>
    <col min="1794" max="1794" width="57.85546875" style="359" customWidth="1"/>
    <col min="1795" max="1795" width="13.5703125" style="359" customWidth="1"/>
    <col min="1796" max="1796" width="14.5703125" style="359" customWidth="1"/>
    <col min="1797" max="1797" width="14.85546875" style="359" customWidth="1"/>
    <col min="1798" max="1798" width="11.42578125" style="359" customWidth="1"/>
    <col min="1799" max="1799" width="7.42578125" style="359" customWidth="1"/>
    <col min="1800" max="2048" width="9.140625" style="359"/>
    <col min="2049" max="2049" width="30.85546875" style="359" customWidth="1"/>
    <col min="2050" max="2050" width="57.85546875" style="359" customWidth="1"/>
    <col min="2051" max="2051" width="13.5703125" style="359" customWidth="1"/>
    <col min="2052" max="2052" width="14.5703125" style="359" customWidth="1"/>
    <col min="2053" max="2053" width="14.85546875" style="359" customWidth="1"/>
    <col min="2054" max="2054" width="11.42578125" style="359" customWidth="1"/>
    <col min="2055" max="2055" width="7.42578125" style="359" customWidth="1"/>
    <col min="2056" max="2304" width="9.140625" style="359"/>
    <col min="2305" max="2305" width="30.85546875" style="359" customWidth="1"/>
    <col min="2306" max="2306" width="57.85546875" style="359" customWidth="1"/>
    <col min="2307" max="2307" width="13.5703125" style="359" customWidth="1"/>
    <col min="2308" max="2308" width="14.5703125" style="359" customWidth="1"/>
    <col min="2309" max="2309" width="14.85546875" style="359" customWidth="1"/>
    <col min="2310" max="2310" width="11.42578125" style="359" customWidth="1"/>
    <col min="2311" max="2311" width="7.42578125" style="359" customWidth="1"/>
    <col min="2312" max="2560" width="9.140625" style="359"/>
    <col min="2561" max="2561" width="30.85546875" style="359" customWidth="1"/>
    <col min="2562" max="2562" width="57.85546875" style="359" customWidth="1"/>
    <col min="2563" max="2563" width="13.5703125" style="359" customWidth="1"/>
    <col min="2564" max="2564" width="14.5703125" style="359" customWidth="1"/>
    <col min="2565" max="2565" width="14.85546875" style="359" customWidth="1"/>
    <col min="2566" max="2566" width="11.42578125" style="359" customWidth="1"/>
    <col min="2567" max="2567" width="7.42578125" style="359" customWidth="1"/>
    <col min="2568" max="2816" width="9.140625" style="359"/>
    <col min="2817" max="2817" width="30.85546875" style="359" customWidth="1"/>
    <col min="2818" max="2818" width="57.85546875" style="359" customWidth="1"/>
    <col min="2819" max="2819" width="13.5703125" style="359" customWidth="1"/>
    <col min="2820" max="2820" width="14.5703125" style="359" customWidth="1"/>
    <col min="2821" max="2821" width="14.85546875" style="359" customWidth="1"/>
    <col min="2822" max="2822" width="11.42578125" style="359" customWidth="1"/>
    <col min="2823" max="2823" width="7.42578125" style="359" customWidth="1"/>
    <col min="2824" max="3072" width="9.140625" style="359"/>
    <col min="3073" max="3073" width="30.85546875" style="359" customWidth="1"/>
    <col min="3074" max="3074" width="57.85546875" style="359" customWidth="1"/>
    <col min="3075" max="3075" width="13.5703125" style="359" customWidth="1"/>
    <col min="3076" max="3076" width="14.5703125" style="359" customWidth="1"/>
    <col min="3077" max="3077" width="14.85546875" style="359" customWidth="1"/>
    <col min="3078" max="3078" width="11.42578125" style="359" customWidth="1"/>
    <col min="3079" max="3079" width="7.42578125" style="359" customWidth="1"/>
    <col min="3080" max="3328" width="9.140625" style="359"/>
    <col min="3329" max="3329" width="30.85546875" style="359" customWidth="1"/>
    <col min="3330" max="3330" width="57.85546875" style="359" customWidth="1"/>
    <col min="3331" max="3331" width="13.5703125" style="359" customWidth="1"/>
    <col min="3332" max="3332" width="14.5703125" style="359" customWidth="1"/>
    <col min="3333" max="3333" width="14.85546875" style="359" customWidth="1"/>
    <col min="3334" max="3334" width="11.42578125" style="359" customWidth="1"/>
    <col min="3335" max="3335" width="7.42578125" style="359" customWidth="1"/>
    <col min="3336" max="3584" width="9.140625" style="359"/>
    <col min="3585" max="3585" width="30.85546875" style="359" customWidth="1"/>
    <col min="3586" max="3586" width="57.85546875" style="359" customWidth="1"/>
    <col min="3587" max="3587" width="13.5703125" style="359" customWidth="1"/>
    <col min="3588" max="3588" width="14.5703125" style="359" customWidth="1"/>
    <col min="3589" max="3589" width="14.85546875" style="359" customWidth="1"/>
    <col min="3590" max="3590" width="11.42578125" style="359" customWidth="1"/>
    <col min="3591" max="3591" width="7.42578125" style="359" customWidth="1"/>
    <col min="3592" max="3840" width="9.140625" style="359"/>
    <col min="3841" max="3841" width="30.85546875" style="359" customWidth="1"/>
    <col min="3842" max="3842" width="57.85546875" style="359" customWidth="1"/>
    <col min="3843" max="3843" width="13.5703125" style="359" customWidth="1"/>
    <col min="3844" max="3844" width="14.5703125" style="359" customWidth="1"/>
    <col min="3845" max="3845" width="14.85546875" style="359" customWidth="1"/>
    <col min="3846" max="3846" width="11.42578125" style="359" customWidth="1"/>
    <col min="3847" max="3847" width="7.42578125" style="359" customWidth="1"/>
    <col min="3848" max="4096" width="9.140625" style="359"/>
    <col min="4097" max="4097" width="30.85546875" style="359" customWidth="1"/>
    <col min="4098" max="4098" width="57.85546875" style="359" customWidth="1"/>
    <col min="4099" max="4099" width="13.5703125" style="359" customWidth="1"/>
    <col min="4100" max="4100" width="14.5703125" style="359" customWidth="1"/>
    <col min="4101" max="4101" width="14.85546875" style="359" customWidth="1"/>
    <col min="4102" max="4102" width="11.42578125" style="359" customWidth="1"/>
    <col min="4103" max="4103" width="7.42578125" style="359" customWidth="1"/>
    <col min="4104" max="4352" width="9.140625" style="359"/>
    <col min="4353" max="4353" width="30.85546875" style="359" customWidth="1"/>
    <col min="4354" max="4354" width="57.85546875" style="359" customWidth="1"/>
    <col min="4355" max="4355" width="13.5703125" style="359" customWidth="1"/>
    <col min="4356" max="4356" width="14.5703125" style="359" customWidth="1"/>
    <col min="4357" max="4357" width="14.85546875" style="359" customWidth="1"/>
    <col min="4358" max="4358" width="11.42578125" style="359" customWidth="1"/>
    <col min="4359" max="4359" width="7.42578125" style="359" customWidth="1"/>
    <col min="4360" max="4608" width="9.140625" style="359"/>
    <col min="4609" max="4609" width="30.85546875" style="359" customWidth="1"/>
    <col min="4610" max="4610" width="57.85546875" style="359" customWidth="1"/>
    <col min="4611" max="4611" width="13.5703125" style="359" customWidth="1"/>
    <col min="4612" max="4612" width="14.5703125" style="359" customWidth="1"/>
    <col min="4613" max="4613" width="14.85546875" style="359" customWidth="1"/>
    <col min="4614" max="4614" width="11.42578125" style="359" customWidth="1"/>
    <col min="4615" max="4615" width="7.42578125" style="359" customWidth="1"/>
    <col min="4616" max="4864" width="9.140625" style="359"/>
    <col min="4865" max="4865" width="30.85546875" style="359" customWidth="1"/>
    <col min="4866" max="4866" width="57.85546875" style="359" customWidth="1"/>
    <col min="4867" max="4867" width="13.5703125" style="359" customWidth="1"/>
    <col min="4868" max="4868" width="14.5703125" style="359" customWidth="1"/>
    <col min="4869" max="4869" width="14.85546875" style="359" customWidth="1"/>
    <col min="4870" max="4870" width="11.42578125" style="359" customWidth="1"/>
    <col min="4871" max="4871" width="7.42578125" style="359" customWidth="1"/>
    <col min="4872" max="5120" width="9.140625" style="359"/>
    <col min="5121" max="5121" width="30.85546875" style="359" customWidth="1"/>
    <col min="5122" max="5122" width="57.85546875" style="359" customWidth="1"/>
    <col min="5123" max="5123" width="13.5703125" style="359" customWidth="1"/>
    <col min="5124" max="5124" width="14.5703125" style="359" customWidth="1"/>
    <col min="5125" max="5125" width="14.85546875" style="359" customWidth="1"/>
    <col min="5126" max="5126" width="11.42578125" style="359" customWidth="1"/>
    <col min="5127" max="5127" width="7.42578125" style="359" customWidth="1"/>
    <col min="5128" max="5376" width="9.140625" style="359"/>
    <col min="5377" max="5377" width="30.85546875" style="359" customWidth="1"/>
    <col min="5378" max="5378" width="57.85546875" style="359" customWidth="1"/>
    <col min="5379" max="5379" width="13.5703125" style="359" customWidth="1"/>
    <col min="5380" max="5380" width="14.5703125" style="359" customWidth="1"/>
    <col min="5381" max="5381" width="14.85546875" style="359" customWidth="1"/>
    <col min="5382" max="5382" width="11.42578125" style="359" customWidth="1"/>
    <col min="5383" max="5383" width="7.42578125" style="359" customWidth="1"/>
    <col min="5384" max="5632" width="9.140625" style="359"/>
    <col min="5633" max="5633" width="30.85546875" style="359" customWidth="1"/>
    <col min="5634" max="5634" width="57.85546875" style="359" customWidth="1"/>
    <col min="5635" max="5635" width="13.5703125" style="359" customWidth="1"/>
    <col min="5636" max="5636" width="14.5703125" style="359" customWidth="1"/>
    <col min="5637" max="5637" width="14.85546875" style="359" customWidth="1"/>
    <col min="5638" max="5638" width="11.42578125" style="359" customWidth="1"/>
    <col min="5639" max="5639" width="7.42578125" style="359" customWidth="1"/>
    <col min="5640" max="5888" width="9.140625" style="359"/>
    <col min="5889" max="5889" width="30.85546875" style="359" customWidth="1"/>
    <col min="5890" max="5890" width="57.85546875" style="359" customWidth="1"/>
    <col min="5891" max="5891" width="13.5703125" style="359" customWidth="1"/>
    <col min="5892" max="5892" width="14.5703125" style="359" customWidth="1"/>
    <col min="5893" max="5893" width="14.85546875" style="359" customWidth="1"/>
    <col min="5894" max="5894" width="11.42578125" style="359" customWidth="1"/>
    <col min="5895" max="5895" width="7.42578125" style="359" customWidth="1"/>
    <col min="5896" max="6144" width="9.140625" style="359"/>
    <col min="6145" max="6145" width="30.85546875" style="359" customWidth="1"/>
    <col min="6146" max="6146" width="57.85546875" style="359" customWidth="1"/>
    <col min="6147" max="6147" width="13.5703125" style="359" customWidth="1"/>
    <col min="6148" max="6148" width="14.5703125" style="359" customWidth="1"/>
    <col min="6149" max="6149" width="14.85546875" style="359" customWidth="1"/>
    <col min="6150" max="6150" width="11.42578125" style="359" customWidth="1"/>
    <col min="6151" max="6151" width="7.42578125" style="359" customWidth="1"/>
    <col min="6152" max="6400" width="9.140625" style="359"/>
    <col min="6401" max="6401" width="30.85546875" style="359" customWidth="1"/>
    <col min="6402" max="6402" width="57.85546875" style="359" customWidth="1"/>
    <col min="6403" max="6403" width="13.5703125" style="359" customWidth="1"/>
    <col min="6404" max="6404" width="14.5703125" style="359" customWidth="1"/>
    <col min="6405" max="6405" width="14.85546875" style="359" customWidth="1"/>
    <col min="6406" max="6406" width="11.42578125" style="359" customWidth="1"/>
    <col min="6407" max="6407" width="7.42578125" style="359" customWidth="1"/>
    <col min="6408" max="6656" width="9.140625" style="359"/>
    <col min="6657" max="6657" width="30.85546875" style="359" customWidth="1"/>
    <col min="6658" max="6658" width="57.85546875" style="359" customWidth="1"/>
    <col min="6659" max="6659" width="13.5703125" style="359" customWidth="1"/>
    <col min="6660" max="6660" width="14.5703125" style="359" customWidth="1"/>
    <col min="6661" max="6661" width="14.85546875" style="359" customWidth="1"/>
    <col min="6662" max="6662" width="11.42578125" style="359" customWidth="1"/>
    <col min="6663" max="6663" width="7.42578125" style="359" customWidth="1"/>
    <col min="6664" max="6912" width="9.140625" style="359"/>
    <col min="6913" max="6913" width="30.85546875" style="359" customWidth="1"/>
    <col min="6914" max="6914" width="57.85546875" style="359" customWidth="1"/>
    <col min="6915" max="6915" width="13.5703125" style="359" customWidth="1"/>
    <col min="6916" max="6916" width="14.5703125" style="359" customWidth="1"/>
    <col min="6917" max="6917" width="14.85546875" style="359" customWidth="1"/>
    <col min="6918" max="6918" width="11.42578125" style="359" customWidth="1"/>
    <col min="6919" max="6919" width="7.42578125" style="359" customWidth="1"/>
    <col min="6920" max="7168" width="9.140625" style="359"/>
    <col min="7169" max="7169" width="30.85546875" style="359" customWidth="1"/>
    <col min="7170" max="7170" width="57.85546875" style="359" customWidth="1"/>
    <col min="7171" max="7171" width="13.5703125" style="359" customWidth="1"/>
    <col min="7172" max="7172" width="14.5703125" style="359" customWidth="1"/>
    <col min="7173" max="7173" width="14.85546875" style="359" customWidth="1"/>
    <col min="7174" max="7174" width="11.42578125" style="359" customWidth="1"/>
    <col min="7175" max="7175" width="7.42578125" style="359" customWidth="1"/>
    <col min="7176" max="7424" width="9.140625" style="359"/>
    <col min="7425" max="7425" width="30.85546875" style="359" customWidth="1"/>
    <col min="7426" max="7426" width="57.85546875" style="359" customWidth="1"/>
    <col min="7427" max="7427" width="13.5703125" style="359" customWidth="1"/>
    <col min="7428" max="7428" width="14.5703125" style="359" customWidth="1"/>
    <col min="7429" max="7429" width="14.85546875" style="359" customWidth="1"/>
    <col min="7430" max="7430" width="11.42578125" style="359" customWidth="1"/>
    <col min="7431" max="7431" width="7.42578125" style="359" customWidth="1"/>
    <col min="7432" max="7680" width="9.140625" style="359"/>
    <col min="7681" max="7681" width="30.85546875" style="359" customWidth="1"/>
    <col min="7682" max="7682" width="57.85546875" style="359" customWidth="1"/>
    <col min="7683" max="7683" width="13.5703125" style="359" customWidth="1"/>
    <col min="7684" max="7684" width="14.5703125" style="359" customWidth="1"/>
    <col min="7685" max="7685" width="14.85546875" style="359" customWidth="1"/>
    <col min="7686" max="7686" width="11.42578125" style="359" customWidth="1"/>
    <col min="7687" max="7687" width="7.42578125" style="359" customWidth="1"/>
    <col min="7688" max="7936" width="9.140625" style="359"/>
    <col min="7937" max="7937" width="30.85546875" style="359" customWidth="1"/>
    <col min="7938" max="7938" width="57.85546875" style="359" customWidth="1"/>
    <col min="7939" max="7939" width="13.5703125" style="359" customWidth="1"/>
    <col min="7940" max="7940" width="14.5703125" style="359" customWidth="1"/>
    <col min="7941" max="7941" width="14.85546875" style="359" customWidth="1"/>
    <col min="7942" max="7942" width="11.42578125" style="359" customWidth="1"/>
    <col min="7943" max="7943" width="7.42578125" style="359" customWidth="1"/>
    <col min="7944" max="8192" width="9.140625" style="359"/>
    <col min="8193" max="8193" width="30.85546875" style="359" customWidth="1"/>
    <col min="8194" max="8194" width="57.85546875" style="359" customWidth="1"/>
    <col min="8195" max="8195" width="13.5703125" style="359" customWidth="1"/>
    <col min="8196" max="8196" width="14.5703125" style="359" customWidth="1"/>
    <col min="8197" max="8197" width="14.85546875" style="359" customWidth="1"/>
    <col min="8198" max="8198" width="11.42578125" style="359" customWidth="1"/>
    <col min="8199" max="8199" width="7.42578125" style="359" customWidth="1"/>
    <col min="8200" max="8448" width="9.140625" style="359"/>
    <col min="8449" max="8449" width="30.85546875" style="359" customWidth="1"/>
    <col min="8450" max="8450" width="57.85546875" style="359" customWidth="1"/>
    <col min="8451" max="8451" width="13.5703125" style="359" customWidth="1"/>
    <col min="8452" max="8452" width="14.5703125" style="359" customWidth="1"/>
    <col min="8453" max="8453" width="14.85546875" style="359" customWidth="1"/>
    <col min="8454" max="8454" width="11.42578125" style="359" customWidth="1"/>
    <col min="8455" max="8455" width="7.42578125" style="359" customWidth="1"/>
    <col min="8456" max="8704" width="9.140625" style="359"/>
    <col min="8705" max="8705" width="30.85546875" style="359" customWidth="1"/>
    <col min="8706" max="8706" width="57.85546875" style="359" customWidth="1"/>
    <col min="8707" max="8707" width="13.5703125" style="359" customWidth="1"/>
    <col min="8708" max="8708" width="14.5703125" style="359" customWidth="1"/>
    <col min="8709" max="8709" width="14.85546875" style="359" customWidth="1"/>
    <col min="8710" max="8710" width="11.42578125" style="359" customWidth="1"/>
    <col min="8711" max="8711" width="7.42578125" style="359" customWidth="1"/>
    <col min="8712" max="8960" width="9.140625" style="359"/>
    <col min="8961" max="8961" width="30.85546875" style="359" customWidth="1"/>
    <col min="8962" max="8962" width="57.85546875" style="359" customWidth="1"/>
    <col min="8963" max="8963" width="13.5703125" style="359" customWidth="1"/>
    <col min="8964" max="8964" width="14.5703125" style="359" customWidth="1"/>
    <col min="8965" max="8965" width="14.85546875" style="359" customWidth="1"/>
    <col min="8966" max="8966" width="11.42578125" style="359" customWidth="1"/>
    <col min="8967" max="8967" width="7.42578125" style="359" customWidth="1"/>
    <col min="8968" max="9216" width="9.140625" style="359"/>
    <col min="9217" max="9217" width="30.85546875" style="359" customWidth="1"/>
    <col min="9218" max="9218" width="57.85546875" style="359" customWidth="1"/>
    <col min="9219" max="9219" width="13.5703125" style="359" customWidth="1"/>
    <col min="9220" max="9220" width="14.5703125" style="359" customWidth="1"/>
    <col min="9221" max="9221" width="14.85546875" style="359" customWidth="1"/>
    <col min="9222" max="9222" width="11.42578125" style="359" customWidth="1"/>
    <col min="9223" max="9223" width="7.42578125" style="359" customWidth="1"/>
    <col min="9224" max="9472" width="9.140625" style="359"/>
    <col min="9473" max="9473" width="30.85546875" style="359" customWidth="1"/>
    <col min="9474" max="9474" width="57.85546875" style="359" customWidth="1"/>
    <col min="9475" max="9475" width="13.5703125" style="359" customWidth="1"/>
    <col min="9476" max="9476" width="14.5703125" style="359" customWidth="1"/>
    <col min="9477" max="9477" width="14.85546875" style="359" customWidth="1"/>
    <col min="9478" max="9478" width="11.42578125" style="359" customWidth="1"/>
    <col min="9479" max="9479" width="7.42578125" style="359" customWidth="1"/>
    <col min="9480" max="9728" width="9.140625" style="359"/>
    <col min="9729" max="9729" width="30.85546875" style="359" customWidth="1"/>
    <col min="9730" max="9730" width="57.85546875" style="359" customWidth="1"/>
    <col min="9731" max="9731" width="13.5703125" style="359" customWidth="1"/>
    <col min="9732" max="9732" width="14.5703125" style="359" customWidth="1"/>
    <col min="9733" max="9733" width="14.85546875" style="359" customWidth="1"/>
    <col min="9734" max="9734" width="11.42578125" style="359" customWidth="1"/>
    <col min="9735" max="9735" width="7.42578125" style="359" customWidth="1"/>
    <col min="9736" max="9984" width="9.140625" style="359"/>
    <col min="9985" max="9985" width="30.85546875" style="359" customWidth="1"/>
    <col min="9986" max="9986" width="57.85546875" style="359" customWidth="1"/>
    <col min="9987" max="9987" width="13.5703125" style="359" customWidth="1"/>
    <col min="9988" max="9988" width="14.5703125" style="359" customWidth="1"/>
    <col min="9989" max="9989" width="14.85546875" style="359" customWidth="1"/>
    <col min="9990" max="9990" width="11.42578125" style="359" customWidth="1"/>
    <col min="9991" max="9991" width="7.42578125" style="359" customWidth="1"/>
    <col min="9992" max="10240" width="9.140625" style="359"/>
    <col min="10241" max="10241" width="30.85546875" style="359" customWidth="1"/>
    <col min="10242" max="10242" width="57.85546875" style="359" customWidth="1"/>
    <col min="10243" max="10243" width="13.5703125" style="359" customWidth="1"/>
    <col min="10244" max="10244" width="14.5703125" style="359" customWidth="1"/>
    <col min="10245" max="10245" width="14.85546875" style="359" customWidth="1"/>
    <col min="10246" max="10246" width="11.42578125" style="359" customWidth="1"/>
    <col min="10247" max="10247" width="7.42578125" style="359" customWidth="1"/>
    <col min="10248" max="10496" width="9.140625" style="359"/>
    <col min="10497" max="10497" width="30.85546875" style="359" customWidth="1"/>
    <col min="10498" max="10498" width="57.85546875" style="359" customWidth="1"/>
    <col min="10499" max="10499" width="13.5703125" style="359" customWidth="1"/>
    <col min="10500" max="10500" width="14.5703125" style="359" customWidth="1"/>
    <col min="10501" max="10501" width="14.85546875" style="359" customWidth="1"/>
    <col min="10502" max="10502" width="11.42578125" style="359" customWidth="1"/>
    <col min="10503" max="10503" width="7.42578125" style="359" customWidth="1"/>
    <col min="10504" max="10752" width="9.140625" style="359"/>
    <col min="10753" max="10753" width="30.85546875" style="359" customWidth="1"/>
    <col min="10754" max="10754" width="57.85546875" style="359" customWidth="1"/>
    <col min="10755" max="10755" width="13.5703125" style="359" customWidth="1"/>
    <col min="10756" max="10756" width="14.5703125" style="359" customWidth="1"/>
    <col min="10757" max="10757" width="14.85546875" style="359" customWidth="1"/>
    <col min="10758" max="10758" width="11.42578125" style="359" customWidth="1"/>
    <col min="10759" max="10759" width="7.42578125" style="359" customWidth="1"/>
    <col min="10760" max="11008" width="9.140625" style="359"/>
    <col min="11009" max="11009" width="30.85546875" style="359" customWidth="1"/>
    <col min="11010" max="11010" width="57.85546875" style="359" customWidth="1"/>
    <col min="11011" max="11011" width="13.5703125" style="359" customWidth="1"/>
    <col min="11012" max="11012" width="14.5703125" style="359" customWidth="1"/>
    <col min="11013" max="11013" width="14.85546875" style="359" customWidth="1"/>
    <col min="11014" max="11014" width="11.42578125" style="359" customWidth="1"/>
    <col min="11015" max="11015" width="7.42578125" style="359" customWidth="1"/>
    <col min="11016" max="11264" width="9.140625" style="359"/>
    <col min="11265" max="11265" width="30.85546875" style="359" customWidth="1"/>
    <col min="11266" max="11266" width="57.85546875" style="359" customWidth="1"/>
    <col min="11267" max="11267" width="13.5703125" style="359" customWidth="1"/>
    <col min="11268" max="11268" width="14.5703125" style="359" customWidth="1"/>
    <col min="11269" max="11269" width="14.85546875" style="359" customWidth="1"/>
    <col min="11270" max="11270" width="11.42578125" style="359" customWidth="1"/>
    <col min="11271" max="11271" width="7.42578125" style="359" customWidth="1"/>
    <col min="11272" max="11520" width="9.140625" style="359"/>
    <col min="11521" max="11521" width="30.85546875" style="359" customWidth="1"/>
    <col min="11522" max="11522" width="57.85546875" style="359" customWidth="1"/>
    <col min="11523" max="11523" width="13.5703125" style="359" customWidth="1"/>
    <col min="11524" max="11524" width="14.5703125" style="359" customWidth="1"/>
    <col min="11525" max="11525" width="14.85546875" style="359" customWidth="1"/>
    <col min="11526" max="11526" width="11.42578125" style="359" customWidth="1"/>
    <col min="11527" max="11527" width="7.42578125" style="359" customWidth="1"/>
    <col min="11528" max="11776" width="9.140625" style="359"/>
    <col min="11777" max="11777" width="30.85546875" style="359" customWidth="1"/>
    <col min="11778" max="11778" width="57.85546875" style="359" customWidth="1"/>
    <col min="11779" max="11779" width="13.5703125" style="359" customWidth="1"/>
    <col min="11780" max="11780" width="14.5703125" style="359" customWidth="1"/>
    <col min="11781" max="11781" width="14.85546875" style="359" customWidth="1"/>
    <col min="11782" max="11782" width="11.42578125" style="359" customWidth="1"/>
    <col min="11783" max="11783" width="7.42578125" style="359" customWidth="1"/>
    <col min="11784" max="12032" width="9.140625" style="359"/>
    <col min="12033" max="12033" width="30.85546875" style="359" customWidth="1"/>
    <col min="12034" max="12034" width="57.85546875" style="359" customWidth="1"/>
    <col min="12035" max="12035" width="13.5703125" style="359" customWidth="1"/>
    <col min="12036" max="12036" width="14.5703125" style="359" customWidth="1"/>
    <col min="12037" max="12037" width="14.85546875" style="359" customWidth="1"/>
    <col min="12038" max="12038" width="11.42578125" style="359" customWidth="1"/>
    <col min="12039" max="12039" width="7.42578125" style="359" customWidth="1"/>
    <col min="12040" max="12288" width="9.140625" style="359"/>
    <col min="12289" max="12289" width="30.85546875" style="359" customWidth="1"/>
    <col min="12290" max="12290" width="57.85546875" style="359" customWidth="1"/>
    <col min="12291" max="12291" width="13.5703125" style="359" customWidth="1"/>
    <col min="12292" max="12292" width="14.5703125" style="359" customWidth="1"/>
    <col min="12293" max="12293" width="14.85546875" style="359" customWidth="1"/>
    <col min="12294" max="12294" width="11.42578125" style="359" customWidth="1"/>
    <col min="12295" max="12295" width="7.42578125" style="359" customWidth="1"/>
    <col min="12296" max="12544" width="9.140625" style="359"/>
    <col min="12545" max="12545" width="30.85546875" style="359" customWidth="1"/>
    <col min="12546" max="12546" width="57.85546875" style="359" customWidth="1"/>
    <col min="12547" max="12547" width="13.5703125" style="359" customWidth="1"/>
    <col min="12548" max="12548" width="14.5703125" style="359" customWidth="1"/>
    <col min="12549" max="12549" width="14.85546875" style="359" customWidth="1"/>
    <col min="12550" max="12550" width="11.42578125" style="359" customWidth="1"/>
    <col min="12551" max="12551" width="7.42578125" style="359" customWidth="1"/>
    <col min="12552" max="12800" width="9.140625" style="359"/>
    <col min="12801" max="12801" width="30.85546875" style="359" customWidth="1"/>
    <col min="12802" max="12802" width="57.85546875" style="359" customWidth="1"/>
    <col min="12803" max="12803" width="13.5703125" style="359" customWidth="1"/>
    <col min="12804" max="12804" width="14.5703125" style="359" customWidth="1"/>
    <col min="12805" max="12805" width="14.85546875" style="359" customWidth="1"/>
    <col min="12806" max="12806" width="11.42578125" style="359" customWidth="1"/>
    <col min="12807" max="12807" width="7.42578125" style="359" customWidth="1"/>
    <col min="12808" max="13056" width="9.140625" style="359"/>
    <col min="13057" max="13057" width="30.85546875" style="359" customWidth="1"/>
    <col min="13058" max="13058" width="57.85546875" style="359" customWidth="1"/>
    <col min="13059" max="13059" width="13.5703125" style="359" customWidth="1"/>
    <col min="13060" max="13060" width="14.5703125" style="359" customWidth="1"/>
    <col min="13061" max="13061" width="14.85546875" style="359" customWidth="1"/>
    <col min="13062" max="13062" width="11.42578125" style="359" customWidth="1"/>
    <col min="13063" max="13063" width="7.42578125" style="359" customWidth="1"/>
    <col min="13064" max="13312" width="9.140625" style="359"/>
    <col min="13313" max="13313" width="30.85546875" style="359" customWidth="1"/>
    <col min="13314" max="13314" width="57.85546875" style="359" customWidth="1"/>
    <col min="13315" max="13315" width="13.5703125" style="359" customWidth="1"/>
    <col min="13316" max="13316" width="14.5703125" style="359" customWidth="1"/>
    <col min="13317" max="13317" width="14.85546875" style="359" customWidth="1"/>
    <col min="13318" max="13318" width="11.42578125" style="359" customWidth="1"/>
    <col min="13319" max="13319" width="7.42578125" style="359" customWidth="1"/>
    <col min="13320" max="13568" width="9.140625" style="359"/>
    <col min="13569" max="13569" width="30.85546875" style="359" customWidth="1"/>
    <col min="13570" max="13570" width="57.85546875" style="359" customWidth="1"/>
    <col min="13571" max="13571" width="13.5703125" style="359" customWidth="1"/>
    <col min="13572" max="13572" width="14.5703125" style="359" customWidth="1"/>
    <col min="13573" max="13573" width="14.85546875" style="359" customWidth="1"/>
    <col min="13574" max="13574" width="11.42578125" style="359" customWidth="1"/>
    <col min="13575" max="13575" width="7.42578125" style="359" customWidth="1"/>
    <col min="13576" max="13824" width="9.140625" style="359"/>
    <col min="13825" max="13825" width="30.85546875" style="359" customWidth="1"/>
    <col min="13826" max="13826" width="57.85546875" style="359" customWidth="1"/>
    <col min="13827" max="13827" width="13.5703125" style="359" customWidth="1"/>
    <col min="13828" max="13828" width="14.5703125" style="359" customWidth="1"/>
    <col min="13829" max="13829" width="14.85546875" style="359" customWidth="1"/>
    <col min="13830" max="13830" width="11.42578125" style="359" customWidth="1"/>
    <col min="13831" max="13831" width="7.42578125" style="359" customWidth="1"/>
    <col min="13832" max="14080" width="9.140625" style="359"/>
    <col min="14081" max="14081" width="30.85546875" style="359" customWidth="1"/>
    <col min="14082" max="14082" width="57.85546875" style="359" customWidth="1"/>
    <col min="14083" max="14083" width="13.5703125" style="359" customWidth="1"/>
    <col min="14084" max="14084" width="14.5703125" style="359" customWidth="1"/>
    <col min="14085" max="14085" width="14.85546875" style="359" customWidth="1"/>
    <col min="14086" max="14086" width="11.42578125" style="359" customWidth="1"/>
    <col min="14087" max="14087" width="7.42578125" style="359" customWidth="1"/>
    <col min="14088" max="14336" width="9.140625" style="359"/>
    <col min="14337" max="14337" width="30.85546875" style="359" customWidth="1"/>
    <col min="14338" max="14338" width="57.85546875" style="359" customWidth="1"/>
    <col min="14339" max="14339" width="13.5703125" style="359" customWidth="1"/>
    <col min="14340" max="14340" width="14.5703125" style="359" customWidth="1"/>
    <col min="14341" max="14341" width="14.85546875" style="359" customWidth="1"/>
    <col min="14342" max="14342" width="11.42578125" style="359" customWidth="1"/>
    <col min="14343" max="14343" width="7.42578125" style="359" customWidth="1"/>
    <col min="14344" max="14592" width="9.140625" style="359"/>
    <col min="14593" max="14593" width="30.85546875" style="359" customWidth="1"/>
    <col min="14594" max="14594" width="57.85546875" style="359" customWidth="1"/>
    <col min="14595" max="14595" width="13.5703125" style="359" customWidth="1"/>
    <col min="14596" max="14596" width="14.5703125" style="359" customWidth="1"/>
    <col min="14597" max="14597" width="14.85546875" style="359" customWidth="1"/>
    <col min="14598" max="14598" width="11.42578125" style="359" customWidth="1"/>
    <col min="14599" max="14599" width="7.42578125" style="359" customWidth="1"/>
    <col min="14600" max="14848" width="9.140625" style="359"/>
    <col min="14849" max="14849" width="30.85546875" style="359" customWidth="1"/>
    <col min="14850" max="14850" width="57.85546875" style="359" customWidth="1"/>
    <col min="14851" max="14851" width="13.5703125" style="359" customWidth="1"/>
    <col min="14852" max="14852" width="14.5703125" style="359" customWidth="1"/>
    <col min="14853" max="14853" width="14.85546875" style="359" customWidth="1"/>
    <col min="14854" max="14854" width="11.42578125" style="359" customWidth="1"/>
    <col min="14855" max="14855" width="7.42578125" style="359" customWidth="1"/>
    <col min="14856" max="15104" width="9.140625" style="359"/>
    <col min="15105" max="15105" width="30.85546875" style="359" customWidth="1"/>
    <col min="15106" max="15106" width="57.85546875" style="359" customWidth="1"/>
    <col min="15107" max="15107" width="13.5703125" style="359" customWidth="1"/>
    <col min="15108" max="15108" width="14.5703125" style="359" customWidth="1"/>
    <col min="15109" max="15109" width="14.85546875" style="359" customWidth="1"/>
    <col min="15110" max="15110" width="11.42578125" style="359" customWidth="1"/>
    <col min="15111" max="15111" width="7.42578125" style="359" customWidth="1"/>
    <col min="15112" max="15360" width="9.140625" style="359"/>
    <col min="15361" max="15361" width="30.85546875" style="359" customWidth="1"/>
    <col min="15362" max="15362" width="57.85546875" style="359" customWidth="1"/>
    <col min="15363" max="15363" width="13.5703125" style="359" customWidth="1"/>
    <col min="15364" max="15364" width="14.5703125" style="359" customWidth="1"/>
    <col min="15365" max="15365" width="14.85546875" style="359" customWidth="1"/>
    <col min="15366" max="15366" width="11.42578125" style="359" customWidth="1"/>
    <col min="15367" max="15367" width="7.42578125" style="359" customWidth="1"/>
    <col min="15368" max="15616" width="9.140625" style="359"/>
    <col min="15617" max="15617" width="30.85546875" style="359" customWidth="1"/>
    <col min="15618" max="15618" width="57.85546875" style="359" customWidth="1"/>
    <col min="15619" max="15619" width="13.5703125" style="359" customWidth="1"/>
    <col min="15620" max="15620" width="14.5703125" style="359" customWidth="1"/>
    <col min="15621" max="15621" width="14.85546875" style="359" customWidth="1"/>
    <col min="15622" max="15622" width="11.42578125" style="359" customWidth="1"/>
    <col min="15623" max="15623" width="7.42578125" style="359" customWidth="1"/>
    <col min="15624" max="15872" width="9.140625" style="359"/>
    <col min="15873" max="15873" width="30.85546875" style="359" customWidth="1"/>
    <col min="15874" max="15874" width="57.85546875" style="359" customWidth="1"/>
    <col min="15875" max="15875" width="13.5703125" style="359" customWidth="1"/>
    <col min="15876" max="15876" width="14.5703125" style="359" customWidth="1"/>
    <col min="15877" max="15877" width="14.85546875" style="359" customWidth="1"/>
    <col min="15878" max="15878" width="11.42578125" style="359" customWidth="1"/>
    <col min="15879" max="15879" width="7.42578125" style="359" customWidth="1"/>
    <col min="15880" max="16128" width="9.140625" style="359"/>
    <col min="16129" max="16129" width="30.85546875" style="359" customWidth="1"/>
    <col min="16130" max="16130" width="57.85546875" style="359" customWidth="1"/>
    <col min="16131" max="16131" width="13.5703125" style="359" customWidth="1"/>
    <col min="16132" max="16132" width="14.5703125" style="359" customWidth="1"/>
    <col min="16133" max="16133" width="14.85546875" style="359" customWidth="1"/>
    <col min="16134" max="16134" width="11.42578125" style="359" customWidth="1"/>
    <col min="16135" max="16135" width="7.42578125" style="359" customWidth="1"/>
    <col min="16136" max="16384" width="9.140625" style="359"/>
  </cols>
  <sheetData>
    <row r="1" spans="1:24" ht="20.25" customHeight="1" x14ac:dyDescent="0.3">
      <c r="A1" s="358"/>
      <c r="B1" s="526"/>
      <c r="C1" s="429" t="s">
        <v>766</v>
      </c>
      <c r="D1" s="526"/>
      <c r="E1" s="526"/>
    </row>
    <row r="2" spans="1:24" ht="23.25" customHeight="1" x14ac:dyDescent="0.3">
      <c r="A2" s="358"/>
      <c r="B2" s="360"/>
      <c r="C2" s="439" t="s">
        <v>871</v>
      </c>
      <c r="D2" s="439"/>
      <c r="E2" s="439"/>
      <c r="F2" s="439"/>
    </row>
    <row r="3" spans="1:24" ht="26.25" customHeight="1" x14ac:dyDescent="0.3">
      <c r="A3" s="358"/>
      <c r="B3" s="360"/>
      <c r="C3" s="439" t="s">
        <v>622</v>
      </c>
      <c r="D3" s="439"/>
      <c r="E3" s="439"/>
      <c r="F3" s="439"/>
    </row>
    <row r="4" spans="1:24" ht="32.25" customHeight="1" x14ac:dyDescent="0.3">
      <c r="A4" s="358"/>
      <c r="B4" s="360"/>
      <c r="C4" s="439" t="s">
        <v>622</v>
      </c>
      <c r="D4" s="439"/>
      <c r="E4" s="439"/>
      <c r="F4" s="439"/>
    </row>
    <row r="5" spans="1:24" ht="1.5" customHeight="1" x14ac:dyDescent="0.3">
      <c r="A5" s="358"/>
      <c r="B5" s="360"/>
      <c r="C5" s="439" t="s">
        <v>622</v>
      </c>
      <c r="D5" s="439"/>
      <c r="E5" s="439"/>
      <c r="F5" s="439"/>
    </row>
    <row r="6" spans="1:24" ht="15" hidden="1" customHeight="1" x14ac:dyDescent="0.3">
      <c r="A6" s="361"/>
      <c r="B6" s="360"/>
      <c r="C6" s="439" t="s">
        <v>622</v>
      </c>
      <c r="D6" s="439"/>
      <c r="E6" s="439"/>
      <c r="F6" s="439"/>
    </row>
    <row r="7" spans="1:24" ht="13.5" customHeight="1" x14ac:dyDescent="0.3">
      <c r="A7" s="361"/>
      <c r="B7" s="360"/>
      <c r="C7" s="439" t="s">
        <v>622</v>
      </c>
      <c r="D7" s="439"/>
      <c r="E7" s="439"/>
      <c r="F7" s="439"/>
    </row>
    <row r="8" spans="1:24" ht="13.5" hidden="1" customHeight="1" x14ac:dyDescent="0.3">
      <c r="A8" s="361"/>
      <c r="B8" s="360"/>
      <c r="C8" s="439"/>
      <c r="D8" s="439"/>
      <c r="E8" s="439"/>
      <c r="F8" s="439"/>
    </row>
    <row r="9" spans="1:24" ht="7.5" hidden="1" customHeight="1" x14ac:dyDescent="0.3">
      <c r="A9" s="361"/>
      <c r="B9" s="362"/>
      <c r="C9" s="439" t="s">
        <v>622</v>
      </c>
      <c r="D9" s="439"/>
      <c r="E9" s="439"/>
      <c r="F9" s="439"/>
    </row>
    <row r="10" spans="1:24" ht="17.25" customHeight="1" x14ac:dyDescent="0.3">
      <c r="A10" s="361"/>
      <c r="B10" s="362"/>
      <c r="C10" s="437" t="s">
        <v>872</v>
      </c>
      <c r="D10" s="437"/>
      <c r="E10" s="437"/>
      <c r="F10" s="437"/>
    </row>
    <row r="11" spans="1:24" ht="45" customHeight="1" x14ac:dyDescent="0.25">
      <c r="A11" s="438" t="s">
        <v>623</v>
      </c>
      <c r="B11" s="438"/>
      <c r="C11" s="438"/>
      <c r="D11" s="438"/>
      <c r="E11" s="438"/>
      <c r="F11" s="438"/>
      <c r="G11" s="363"/>
      <c r="H11" s="363"/>
    </row>
    <row r="12" spans="1:24" ht="19.5" thickBot="1" x14ac:dyDescent="0.35">
      <c r="A12" s="364"/>
      <c r="B12" s="364"/>
      <c r="C12" s="365" t="s">
        <v>624</v>
      </c>
    </row>
    <row r="13" spans="1:24" ht="38.25" thickBot="1" x14ac:dyDescent="0.3">
      <c r="A13" s="366" t="s">
        <v>625</v>
      </c>
      <c r="B13" s="367" t="s">
        <v>626</v>
      </c>
      <c r="C13" s="368" t="s">
        <v>377</v>
      </c>
      <c r="D13" s="369" t="s">
        <v>378</v>
      </c>
      <c r="E13" s="368" t="s">
        <v>376</v>
      </c>
      <c r="F13" s="370" t="s">
        <v>348</v>
      </c>
    </row>
    <row r="14" spans="1:24" ht="19.5" thickBot="1" x14ac:dyDescent="0.35">
      <c r="A14" s="371">
        <v>1</v>
      </c>
      <c r="B14" s="372">
        <v>2</v>
      </c>
      <c r="C14" s="373">
        <v>3</v>
      </c>
      <c r="D14" s="374">
        <v>4</v>
      </c>
      <c r="E14" s="375">
        <v>5</v>
      </c>
      <c r="F14" s="376">
        <v>6</v>
      </c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</row>
    <row r="15" spans="1:24" s="381" customFormat="1" ht="23.25" customHeight="1" x14ac:dyDescent="0.2">
      <c r="A15" s="378" t="s">
        <v>627</v>
      </c>
      <c r="B15" s="379" t="s">
        <v>234</v>
      </c>
      <c r="C15" s="380">
        <f>C17+C18+C23+C27+C29+C32+C33+C38+C41+C44+C46+C47</f>
        <v>45164.03</v>
      </c>
      <c r="D15" s="380">
        <v>45329.974999999999</v>
      </c>
      <c r="E15" s="380">
        <f>D15/C15*100</f>
        <v>100.36742735313922</v>
      </c>
      <c r="F15" s="377">
        <f>D15-C15</f>
        <v>165.94499999999971</v>
      </c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</row>
    <row r="16" spans="1:24" s="381" customFormat="1" ht="23.25" customHeight="1" x14ac:dyDescent="0.2">
      <c r="A16" s="378" t="s">
        <v>628</v>
      </c>
      <c r="B16" s="379" t="s">
        <v>629</v>
      </c>
      <c r="C16" s="380">
        <f>C17</f>
        <v>28290</v>
      </c>
      <c r="D16" s="380">
        <f>D17</f>
        <v>28435.561000000002</v>
      </c>
      <c r="E16" s="380">
        <f t="shared" ref="E16:E79" si="0">D16/C16*100</f>
        <v>100.51453163662072</v>
      </c>
      <c r="F16" s="377">
        <f t="shared" ref="F16:F79" si="1">D16-C16</f>
        <v>145.56100000000151</v>
      </c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</row>
    <row r="17" spans="1:24" s="381" customFormat="1" ht="21.75" customHeight="1" x14ac:dyDescent="0.2">
      <c r="A17" s="378" t="s">
        <v>630</v>
      </c>
      <c r="B17" s="379" t="s">
        <v>631</v>
      </c>
      <c r="C17" s="380">
        <v>28290</v>
      </c>
      <c r="D17" s="382">
        <v>28435.561000000002</v>
      </c>
      <c r="E17" s="380">
        <f t="shared" si="0"/>
        <v>100.51453163662072</v>
      </c>
      <c r="F17" s="377">
        <f t="shared" si="1"/>
        <v>145.56100000000151</v>
      </c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</row>
    <row r="18" spans="1:24" s="381" customFormat="1" ht="40.5" customHeight="1" x14ac:dyDescent="0.2">
      <c r="A18" s="378" t="s">
        <v>632</v>
      </c>
      <c r="B18" s="379" t="s">
        <v>633</v>
      </c>
      <c r="C18" s="380">
        <f>C20+C19+C21+C22</f>
        <v>10626.03</v>
      </c>
      <c r="D18" s="380">
        <f>D20+D19+D21+D22</f>
        <v>10431.441999999999</v>
      </c>
      <c r="E18" s="380">
        <f t="shared" si="0"/>
        <v>98.16876105186978</v>
      </c>
      <c r="F18" s="377">
        <f t="shared" si="1"/>
        <v>-194.58800000000156</v>
      </c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</row>
    <row r="19" spans="1:24" s="381" customFormat="1" ht="97.5" customHeight="1" x14ac:dyDescent="0.2">
      <c r="A19" s="383" t="s">
        <v>634</v>
      </c>
      <c r="B19" s="384" t="s">
        <v>635</v>
      </c>
      <c r="C19" s="385">
        <v>4989.8</v>
      </c>
      <c r="D19" s="382">
        <v>4811.375</v>
      </c>
      <c r="E19" s="380">
        <f t="shared" si="0"/>
        <v>96.424205378973099</v>
      </c>
      <c r="F19" s="377">
        <f t="shared" si="1"/>
        <v>-178.42500000000018</v>
      </c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</row>
    <row r="20" spans="1:24" s="381" customFormat="1" ht="133.5" customHeight="1" x14ac:dyDescent="0.2">
      <c r="A20" s="383" t="s">
        <v>636</v>
      </c>
      <c r="B20" s="384" t="s">
        <v>637</v>
      </c>
      <c r="C20" s="385">
        <v>31.34</v>
      </c>
      <c r="D20" s="382">
        <v>34.414000000000001</v>
      </c>
      <c r="E20" s="380">
        <f t="shared" si="0"/>
        <v>109.8085513720485</v>
      </c>
      <c r="F20" s="377">
        <f t="shared" si="1"/>
        <v>3.0740000000000016</v>
      </c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</row>
    <row r="21" spans="1:24" s="381" customFormat="1" ht="111.75" customHeight="1" x14ac:dyDescent="0.2">
      <c r="A21" s="383" t="s">
        <v>638</v>
      </c>
      <c r="B21" s="384" t="s">
        <v>639</v>
      </c>
      <c r="C21" s="385">
        <v>5604.89</v>
      </c>
      <c r="D21" s="382">
        <v>6472.6509999999998</v>
      </c>
      <c r="E21" s="380">
        <f t="shared" si="0"/>
        <v>115.48221285341907</v>
      </c>
      <c r="F21" s="377">
        <f t="shared" si="1"/>
        <v>867.76099999999951</v>
      </c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</row>
    <row r="22" spans="1:24" s="381" customFormat="1" ht="113.25" customHeight="1" x14ac:dyDescent="0.2">
      <c r="A22" s="383" t="s">
        <v>640</v>
      </c>
      <c r="B22" s="384" t="s">
        <v>641</v>
      </c>
      <c r="C22" s="385"/>
      <c r="D22" s="382">
        <v>-886.99800000000005</v>
      </c>
      <c r="E22" s="380" t="e">
        <f t="shared" si="0"/>
        <v>#DIV/0!</v>
      </c>
      <c r="F22" s="377">
        <f t="shared" si="1"/>
        <v>-886.99800000000005</v>
      </c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</row>
    <row r="23" spans="1:24" s="381" customFormat="1" ht="21.75" customHeight="1" x14ac:dyDescent="0.2">
      <c r="A23" s="378" t="s">
        <v>642</v>
      </c>
      <c r="B23" s="379" t="s">
        <v>245</v>
      </c>
      <c r="C23" s="380">
        <f>C24+C25+C26</f>
        <v>1621</v>
      </c>
      <c r="D23" s="380">
        <f>D24+D25+D26</f>
        <v>1622.0239999999999</v>
      </c>
      <c r="E23" s="380">
        <f t="shared" si="0"/>
        <v>100.06317088217149</v>
      </c>
      <c r="F23" s="377">
        <f t="shared" si="1"/>
        <v>1.0239999999998872</v>
      </c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</row>
    <row r="24" spans="1:24" s="381" customFormat="1" ht="37.5" x14ac:dyDescent="0.2">
      <c r="A24" s="383" t="s">
        <v>643</v>
      </c>
      <c r="B24" s="384" t="s">
        <v>249</v>
      </c>
      <c r="C24" s="385">
        <v>1060</v>
      </c>
      <c r="D24" s="382">
        <v>1060.1679999999999</v>
      </c>
      <c r="E24" s="380">
        <f t="shared" si="0"/>
        <v>100.01584905660377</v>
      </c>
      <c r="F24" s="377">
        <f t="shared" si="1"/>
        <v>0.16799999999989268</v>
      </c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</row>
    <row r="25" spans="1:24" s="381" customFormat="1" ht="18.75" x14ac:dyDescent="0.2">
      <c r="A25" s="383" t="s">
        <v>644</v>
      </c>
      <c r="B25" s="384" t="s">
        <v>645</v>
      </c>
      <c r="C25" s="385">
        <v>201</v>
      </c>
      <c r="D25" s="382">
        <v>201.45400000000001</v>
      </c>
      <c r="E25" s="380">
        <f t="shared" si="0"/>
        <v>100.22587064676618</v>
      </c>
      <c r="F25" s="377">
        <f t="shared" si="1"/>
        <v>0.45400000000000773</v>
      </c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</row>
    <row r="26" spans="1:24" s="381" customFormat="1" ht="37.5" x14ac:dyDescent="0.2">
      <c r="A26" s="383" t="s">
        <v>646</v>
      </c>
      <c r="B26" s="384" t="s">
        <v>647</v>
      </c>
      <c r="C26" s="385">
        <v>360</v>
      </c>
      <c r="D26" s="382">
        <v>360.40199999999999</v>
      </c>
      <c r="E26" s="380">
        <f t="shared" si="0"/>
        <v>100.11166666666666</v>
      </c>
      <c r="F26" s="377">
        <f t="shared" si="1"/>
        <v>0.40199999999998681</v>
      </c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</row>
    <row r="27" spans="1:24" s="381" customFormat="1" ht="23.25" customHeight="1" x14ac:dyDescent="0.2">
      <c r="A27" s="378" t="s">
        <v>648</v>
      </c>
      <c r="B27" s="379" t="s">
        <v>253</v>
      </c>
      <c r="C27" s="380">
        <f>C28</f>
        <v>1393</v>
      </c>
      <c r="D27" s="380">
        <f>D28</f>
        <v>1401.4069999999999</v>
      </c>
      <c r="E27" s="380">
        <f t="shared" si="0"/>
        <v>100.60351758793968</v>
      </c>
      <c r="F27" s="377">
        <f t="shared" si="1"/>
        <v>8.4069999999999254</v>
      </c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</row>
    <row r="28" spans="1:24" s="381" customFormat="1" ht="18.75" x14ac:dyDescent="0.2">
      <c r="A28" s="383" t="s">
        <v>649</v>
      </c>
      <c r="B28" s="384" t="s">
        <v>255</v>
      </c>
      <c r="C28" s="385">
        <v>1393</v>
      </c>
      <c r="D28" s="385">
        <v>1401.4069999999999</v>
      </c>
      <c r="E28" s="380">
        <f t="shared" si="0"/>
        <v>100.60351758793968</v>
      </c>
      <c r="F28" s="377">
        <f t="shared" si="1"/>
        <v>8.4069999999999254</v>
      </c>
      <c r="G28" s="377"/>
      <c r="H28" s="377"/>
      <c r="I28" s="377"/>
      <c r="J28" s="377"/>
      <c r="K28" s="377"/>
      <c r="L28" s="377"/>
      <c r="M28" s="377"/>
      <c r="N28" s="377"/>
    </row>
    <row r="29" spans="1:24" s="381" customFormat="1" ht="56.25" hidden="1" x14ac:dyDescent="0.2">
      <c r="A29" s="378" t="s">
        <v>650</v>
      </c>
      <c r="B29" s="379" t="s">
        <v>651</v>
      </c>
      <c r="C29" s="380">
        <f>C30+C31</f>
        <v>0</v>
      </c>
      <c r="D29" s="382">
        <f ca="1">E29-C29</f>
        <v>0</v>
      </c>
      <c r="E29" s="380">
        <f t="shared" ca="1" si="0"/>
        <v>99.588034991562949</v>
      </c>
      <c r="F29" s="377">
        <f t="shared" ca="1" si="1"/>
        <v>0</v>
      </c>
      <c r="G29" s="377"/>
      <c r="H29" s="377"/>
      <c r="I29" s="377"/>
      <c r="J29" s="377"/>
      <c r="K29" s="377"/>
      <c r="L29" s="377"/>
      <c r="M29" s="377"/>
      <c r="N29" s="377"/>
    </row>
    <row r="30" spans="1:24" s="381" customFormat="1" ht="18.75" hidden="1" x14ac:dyDescent="0.2">
      <c r="A30" s="383" t="s">
        <v>652</v>
      </c>
      <c r="B30" s="384" t="s">
        <v>653</v>
      </c>
      <c r="C30" s="385"/>
      <c r="D30" s="382">
        <f ca="1">E30-C30</f>
        <v>0</v>
      </c>
      <c r="E30" s="380">
        <f t="shared" ca="1" si="0"/>
        <v>99.588034991562949</v>
      </c>
      <c r="F30" s="377">
        <f t="shared" ca="1" si="1"/>
        <v>0</v>
      </c>
      <c r="G30" s="377"/>
      <c r="H30" s="377"/>
      <c r="I30" s="377"/>
      <c r="J30" s="377"/>
      <c r="K30" s="377"/>
      <c r="L30" s="377"/>
      <c r="M30" s="377"/>
      <c r="N30" s="377"/>
    </row>
    <row r="31" spans="1:24" s="381" customFormat="1" ht="56.25" hidden="1" x14ac:dyDescent="0.2">
      <c r="A31" s="383" t="s">
        <v>654</v>
      </c>
      <c r="B31" s="386" t="s">
        <v>655</v>
      </c>
      <c r="C31" s="385"/>
      <c r="D31" s="382">
        <f ca="1">E31-C31</f>
        <v>0</v>
      </c>
      <c r="E31" s="380">
        <f t="shared" ca="1" si="0"/>
        <v>99.588034991562949</v>
      </c>
      <c r="F31" s="377">
        <f t="shared" ca="1" si="1"/>
        <v>0</v>
      </c>
      <c r="G31" s="377"/>
      <c r="H31" s="377"/>
      <c r="I31" s="377"/>
      <c r="J31" s="377"/>
      <c r="K31" s="377"/>
      <c r="L31" s="377"/>
      <c r="M31" s="377"/>
      <c r="N31" s="377"/>
    </row>
    <row r="32" spans="1:24" s="381" customFormat="1" ht="22.5" customHeight="1" x14ac:dyDescent="0.2">
      <c r="A32" s="378" t="s">
        <v>656</v>
      </c>
      <c r="B32" s="387" t="s">
        <v>257</v>
      </c>
      <c r="C32" s="380">
        <v>1103</v>
      </c>
      <c r="D32" s="380">
        <v>1297.5709999999999</v>
      </c>
      <c r="E32" s="380">
        <f t="shared" si="0"/>
        <v>117.64016319129647</v>
      </c>
      <c r="F32" s="377">
        <f t="shared" si="1"/>
        <v>194.57099999999991</v>
      </c>
      <c r="G32" s="377"/>
      <c r="H32" s="377"/>
      <c r="I32" s="377"/>
      <c r="J32" s="377"/>
      <c r="K32" s="377"/>
      <c r="L32" s="377"/>
      <c r="M32" s="377"/>
      <c r="N32" s="377"/>
    </row>
    <row r="33" spans="1:14" s="381" customFormat="1" ht="88.5" customHeight="1" x14ac:dyDescent="0.2">
      <c r="A33" s="378" t="s">
        <v>657</v>
      </c>
      <c r="B33" s="387" t="s">
        <v>658</v>
      </c>
      <c r="C33" s="380">
        <f>C34+C35+C36+C37</f>
        <v>964</v>
      </c>
      <c r="D33" s="380">
        <f>D34+D35+D36+D37</f>
        <v>971.505</v>
      </c>
      <c r="E33" s="380">
        <f t="shared" si="0"/>
        <v>100.77852697095435</v>
      </c>
      <c r="F33" s="377">
        <f t="shared" si="1"/>
        <v>7.5049999999999955</v>
      </c>
      <c r="G33" s="377"/>
      <c r="H33" s="377"/>
      <c r="I33" s="377"/>
      <c r="J33" s="377"/>
      <c r="K33" s="377"/>
      <c r="L33" s="377"/>
      <c r="M33" s="377"/>
      <c r="N33" s="377"/>
    </row>
    <row r="34" spans="1:14" s="381" customFormat="1" ht="182.25" customHeight="1" x14ac:dyDescent="0.2">
      <c r="A34" s="388" t="s">
        <v>659</v>
      </c>
      <c r="B34" s="389" t="s">
        <v>660</v>
      </c>
      <c r="C34" s="390">
        <v>742</v>
      </c>
      <c r="D34" s="382">
        <v>742.52599999999995</v>
      </c>
      <c r="E34" s="380">
        <f t="shared" si="0"/>
        <v>100.07088948787062</v>
      </c>
      <c r="F34" s="377">
        <f t="shared" si="1"/>
        <v>0.52599999999995362</v>
      </c>
      <c r="G34" s="377"/>
      <c r="H34" s="377"/>
      <c r="I34" s="377"/>
      <c r="J34" s="377"/>
      <c r="K34" s="377"/>
      <c r="L34" s="377"/>
      <c r="M34" s="377"/>
      <c r="N34" s="377"/>
    </row>
    <row r="35" spans="1:14" s="381" customFormat="1" ht="120" customHeight="1" x14ac:dyDescent="0.2">
      <c r="A35" s="388" t="s">
        <v>661</v>
      </c>
      <c r="B35" s="391" t="s">
        <v>662</v>
      </c>
      <c r="C35" s="390">
        <v>9</v>
      </c>
      <c r="D35" s="382">
        <v>8.5169999999999995</v>
      </c>
      <c r="E35" s="380">
        <f t="shared" si="0"/>
        <v>94.633333333333326</v>
      </c>
      <c r="F35" s="377">
        <f t="shared" si="1"/>
        <v>-0.48300000000000054</v>
      </c>
      <c r="G35" s="377"/>
      <c r="H35" s="377"/>
      <c r="I35" s="377"/>
      <c r="J35" s="377"/>
      <c r="K35" s="377"/>
      <c r="L35" s="377"/>
      <c r="M35" s="377"/>
      <c r="N35" s="377"/>
    </row>
    <row r="36" spans="1:14" s="381" customFormat="1" ht="121.5" customHeight="1" x14ac:dyDescent="0.2">
      <c r="A36" s="184" t="s">
        <v>663</v>
      </c>
      <c r="B36" s="386" t="s">
        <v>664</v>
      </c>
      <c r="C36" s="390">
        <v>12</v>
      </c>
      <c r="D36" s="382">
        <v>12</v>
      </c>
      <c r="E36" s="380">
        <f t="shared" si="0"/>
        <v>100</v>
      </c>
      <c r="F36" s="377">
        <f t="shared" si="1"/>
        <v>0</v>
      </c>
      <c r="G36" s="377"/>
      <c r="H36" s="377"/>
      <c r="I36" s="377"/>
      <c r="J36" s="377"/>
      <c r="K36" s="377"/>
      <c r="L36" s="377"/>
      <c r="M36" s="377"/>
      <c r="N36" s="377"/>
    </row>
    <row r="37" spans="1:14" s="381" customFormat="1" ht="115.5" customHeight="1" x14ac:dyDescent="0.3">
      <c r="A37" s="184" t="s">
        <v>665</v>
      </c>
      <c r="B37" s="392" t="s">
        <v>666</v>
      </c>
      <c r="C37" s="390">
        <v>201</v>
      </c>
      <c r="D37" s="382">
        <v>208.46199999999999</v>
      </c>
      <c r="E37" s="380">
        <f t="shared" si="0"/>
        <v>103.71243781094526</v>
      </c>
      <c r="F37" s="377">
        <f t="shared" si="1"/>
        <v>7.4619999999999891</v>
      </c>
      <c r="G37" s="377"/>
      <c r="H37" s="377"/>
      <c r="I37" s="377"/>
      <c r="J37" s="377"/>
      <c r="K37" s="377"/>
      <c r="L37" s="377"/>
      <c r="M37" s="377"/>
      <c r="N37" s="377"/>
    </row>
    <row r="38" spans="1:14" s="381" customFormat="1" ht="37.5" x14ac:dyDescent="0.2">
      <c r="A38" s="378" t="s">
        <v>667</v>
      </c>
      <c r="B38" s="387" t="s">
        <v>668</v>
      </c>
      <c r="C38" s="393">
        <f>C39+C40</f>
        <v>349</v>
      </c>
      <c r="D38" s="393">
        <f>D39</f>
        <v>351.99900000000002</v>
      </c>
      <c r="E38" s="380">
        <f t="shared" si="0"/>
        <v>100.85931232091691</v>
      </c>
      <c r="F38" s="377">
        <f t="shared" si="1"/>
        <v>2.9990000000000236</v>
      </c>
      <c r="G38" s="377"/>
      <c r="H38" s="377"/>
      <c r="I38" s="377"/>
      <c r="J38" s="377"/>
      <c r="K38" s="377"/>
      <c r="L38" s="377"/>
      <c r="M38" s="377"/>
      <c r="N38" s="377"/>
    </row>
    <row r="39" spans="1:14" s="381" customFormat="1" ht="37.5" x14ac:dyDescent="0.2">
      <c r="A39" s="383" t="s">
        <v>669</v>
      </c>
      <c r="B39" s="386" t="s">
        <v>670</v>
      </c>
      <c r="C39" s="390">
        <v>349</v>
      </c>
      <c r="D39" s="382">
        <v>351.99900000000002</v>
      </c>
      <c r="E39" s="380">
        <f t="shared" si="0"/>
        <v>100.85931232091691</v>
      </c>
      <c r="F39" s="377">
        <f t="shared" si="1"/>
        <v>2.9990000000000236</v>
      </c>
      <c r="G39" s="377"/>
      <c r="H39" s="377"/>
      <c r="I39" s="377"/>
      <c r="J39" s="377"/>
      <c r="K39" s="377"/>
      <c r="L39" s="377"/>
      <c r="M39" s="377"/>
      <c r="N39" s="377"/>
    </row>
    <row r="40" spans="1:14" s="381" customFormat="1" ht="18.75" hidden="1" x14ac:dyDescent="0.2">
      <c r="A40" s="383" t="s">
        <v>671</v>
      </c>
      <c r="B40" s="386" t="s">
        <v>672</v>
      </c>
      <c r="C40" s="393"/>
      <c r="D40" s="382">
        <f ca="1">E40-C40</f>
        <v>0</v>
      </c>
      <c r="E40" s="380">
        <f t="shared" ca="1" si="0"/>
        <v>99.588034991562949</v>
      </c>
      <c r="F40" s="377">
        <f t="shared" ca="1" si="1"/>
        <v>0</v>
      </c>
      <c r="G40" s="377"/>
      <c r="H40" s="377"/>
      <c r="I40" s="377"/>
      <c r="J40" s="377"/>
      <c r="K40" s="377"/>
      <c r="L40" s="377"/>
      <c r="M40" s="377"/>
      <c r="N40" s="377"/>
    </row>
    <row r="41" spans="1:14" s="381" customFormat="1" ht="42" customHeight="1" x14ac:dyDescent="0.2">
      <c r="A41" s="378" t="s">
        <v>673</v>
      </c>
      <c r="B41" s="387" t="s">
        <v>674</v>
      </c>
      <c r="C41" s="393">
        <f>C42+C43</f>
        <v>0</v>
      </c>
      <c r="D41" s="382">
        <f ca="1">E41-C41</f>
        <v>0</v>
      </c>
      <c r="E41" s="380">
        <f t="shared" ca="1" si="0"/>
        <v>99.588034991562949</v>
      </c>
      <c r="F41" s="377">
        <f t="shared" ca="1" si="1"/>
        <v>0</v>
      </c>
      <c r="G41" s="377"/>
      <c r="H41" s="377"/>
      <c r="I41" s="377"/>
      <c r="J41" s="377"/>
      <c r="K41" s="377"/>
      <c r="L41" s="377"/>
      <c r="M41" s="377"/>
      <c r="N41" s="377"/>
    </row>
    <row r="42" spans="1:14" s="381" customFormat="1" ht="56.25" hidden="1" x14ac:dyDescent="0.2">
      <c r="A42" s="383" t="s">
        <v>675</v>
      </c>
      <c r="B42" s="386" t="s">
        <v>367</v>
      </c>
      <c r="C42" s="390"/>
      <c r="D42" s="382">
        <f ca="1">E42-C42</f>
        <v>0</v>
      </c>
      <c r="E42" s="380">
        <f t="shared" ca="1" si="0"/>
        <v>99.588034991562949</v>
      </c>
      <c r="F42" s="377">
        <f t="shared" ca="1" si="1"/>
        <v>0</v>
      </c>
      <c r="G42" s="377"/>
      <c r="H42" s="377"/>
      <c r="I42" s="377"/>
      <c r="J42" s="377"/>
      <c r="K42" s="377"/>
      <c r="L42" s="377"/>
      <c r="M42" s="377"/>
      <c r="N42" s="377"/>
    </row>
    <row r="43" spans="1:14" s="381" customFormat="1" ht="36.75" customHeight="1" x14ac:dyDescent="0.2">
      <c r="A43" s="383" t="s">
        <v>676</v>
      </c>
      <c r="B43" s="386" t="s">
        <v>677</v>
      </c>
      <c r="C43" s="393"/>
      <c r="D43" s="382">
        <f ca="1">E43-C43</f>
        <v>0</v>
      </c>
      <c r="E43" s="380">
        <f t="shared" ca="1" si="0"/>
        <v>99.588034991562949</v>
      </c>
      <c r="F43" s="377">
        <f t="shared" ca="1" si="1"/>
        <v>0</v>
      </c>
      <c r="G43" s="377"/>
      <c r="H43" s="377"/>
      <c r="I43" s="377"/>
      <c r="J43" s="377"/>
      <c r="K43" s="377"/>
      <c r="L43" s="377"/>
      <c r="M43" s="377"/>
      <c r="N43" s="377"/>
    </row>
    <row r="44" spans="1:14" s="381" customFormat="1" ht="41.25" customHeight="1" x14ac:dyDescent="0.2">
      <c r="A44" s="378" t="s">
        <v>678</v>
      </c>
      <c r="B44" s="387" t="s">
        <v>679</v>
      </c>
      <c r="C44" s="393">
        <f>C45</f>
        <v>93</v>
      </c>
      <c r="D44" s="393">
        <f>D45</f>
        <v>92.975999999999999</v>
      </c>
      <c r="E44" s="380">
        <f t="shared" si="0"/>
        <v>99.974193548387092</v>
      </c>
      <c r="F44" s="377">
        <f t="shared" si="1"/>
        <v>-2.4000000000000909E-2</v>
      </c>
      <c r="G44" s="377"/>
      <c r="H44" s="377"/>
      <c r="I44" s="377"/>
      <c r="J44" s="377"/>
      <c r="K44" s="377"/>
      <c r="L44" s="377"/>
      <c r="M44" s="377"/>
      <c r="N44" s="377"/>
    </row>
    <row r="45" spans="1:14" s="381" customFormat="1" ht="90" customHeight="1" x14ac:dyDescent="0.2">
      <c r="A45" s="388" t="s">
        <v>680</v>
      </c>
      <c r="B45" s="389" t="s">
        <v>681</v>
      </c>
      <c r="C45" s="390">
        <v>93</v>
      </c>
      <c r="D45" s="382">
        <v>92.975999999999999</v>
      </c>
      <c r="E45" s="380">
        <f t="shared" si="0"/>
        <v>99.974193548387092</v>
      </c>
      <c r="F45" s="377">
        <f t="shared" si="1"/>
        <v>-2.4000000000000909E-2</v>
      </c>
      <c r="G45" s="377"/>
      <c r="H45" s="377"/>
      <c r="I45" s="377"/>
      <c r="J45" s="377"/>
      <c r="K45" s="377"/>
      <c r="L45" s="377"/>
      <c r="M45" s="377"/>
      <c r="N45" s="377"/>
    </row>
    <row r="46" spans="1:14" s="381" customFormat="1" ht="23.25" customHeight="1" x14ac:dyDescent="0.2">
      <c r="A46" s="378" t="s">
        <v>682</v>
      </c>
      <c r="B46" s="387" t="s">
        <v>683</v>
      </c>
      <c r="C46" s="393">
        <v>725</v>
      </c>
      <c r="D46" s="382">
        <v>725.48400000000004</v>
      </c>
      <c r="E46" s="380">
        <f t="shared" si="0"/>
        <v>100.06675862068965</v>
      </c>
      <c r="F46" s="377">
        <f t="shared" si="1"/>
        <v>0.48400000000003729</v>
      </c>
      <c r="G46" s="377"/>
      <c r="H46" s="377"/>
      <c r="I46" s="377"/>
      <c r="J46" s="377"/>
      <c r="K46" s="377"/>
      <c r="L46" s="377"/>
      <c r="M46" s="377"/>
      <c r="N46" s="377"/>
    </row>
    <row r="47" spans="1:14" s="381" customFormat="1" ht="23.25" customHeight="1" x14ac:dyDescent="0.2">
      <c r="A47" s="378" t="s">
        <v>684</v>
      </c>
      <c r="B47" s="394" t="s">
        <v>685</v>
      </c>
      <c r="C47" s="393">
        <f>C48</f>
        <v>0</v>
      </c>
      <c r="D47" s="382">
        <f ca="1">E47-C47</f>
        <v>0</v>
      </c>
      <c r="E47" s="380">
        <f t="shared" ca="1" si="0"/>
        <v>99.588034991562949</v>
      </c>
      <c r="F47" s="377">
        <f t="shared" ca="1" si="1"/>
        <v>0</v>
      </c>
      <c r="G47" s="377"/>
      <c r="H47" s="377"/>
      <c r="I47" s="377"/>
      <c r="J47" s="377"/>
      <c r="K47" s="377"/>
      <c r="L47" s="377"/>
      <c r="M47" s="377"/>
      <c r="N47" s="377"/>
    </row>
    <row r="48" spans="1:14" s="381" customFormat="1" ht="37.5" x14ac:dyDescent="0.2">
      <c r="A48" s="383" t="s">
        <v>686</v>
      </c>
      <c r="B48" s="395" t="s">
        <v>687</v>
      </c>
      <c r="C48" s="393"/>
      <c r="D48" s="382">
        <f ca="1">E48-C48</f>
        <v>0</v>
      </c>
      <c r="E48" s="380">
        <f t="shared" ca="1" si="0"/>
        <v>99.588034991562949</v>
      </c>
      <c r="F48" s="377">
        <f t="shared" ca="1" si="1"/>
        <v>0</v>
      </c>
      <c r="G48" s="377"/>
      <c r="H48" s="377"/>
      <c r="I48" s="377"/>
      <c r="J48" s="377"/>
      <c r="K48" s="377"/>
      <c r="L48" s="377"/>
      <c r="M48" s="377"/>
      <c r="N48" s="377"/>
    </row>
    <row r="49" spans="1:14" s="398" customFormat="1" ht="27" customHeight="1" x14ac:dyDescent="0.2">
      <c r="A49" s="378" t="s">
        <v>688</v>
      </c>
      <c r="B49" s="396" t="s">
        <v>287</v>
      </c>
      <c r="C49" s="397">
        <f>C50</f>
        <v>663618.22100000002</v>
      </c>
      <c r="D49" s="397">
        <f>D50</f>
        <v>652881.56900000013</v>
      </c>
      <c r="E49" s="380">
        <f t="shared" si="0"/>
        <v>98.382104098374384</v>
      </c>
      <c r="F49" s="377">
        <f t="shared" si="1"/>
        <v>-10736.651999999885</v>
      </c>
      <c r="G49" s="377"/>
      <c r="H49" s="377"/>
      <c r="I49" s="377"/>
      <c r="J49" s="377"/>
      <c r="K49" s="377"/>
      <c r="L49" s="377"/>
      <c r="M49" s="377"/>
      <c r="N49" s="377"/>
    </row>
    <row r="50" spans="1:14" s="402" customFormat="1" ht="42.75" customHeight="1" x14ac:dyDescent="0.25">
      <c r="A50" s="399" t="s">
        <v>689</v>
      </c>
      <c r="B50" s="400" t="s">
        <v>690</v>
      </c>
      <c r="C50" s="401">
        <f>C51+C54+C69+C82</f>
        <v>663618.22100000002</v>
      </c>
      <c r="D50" s="401">
        <f>D51+D54+D69+D82</f>
        <v>652881.56900000013</v>
      </c>
      <c r="E50" s="380">
        <f t="shared" si="0"/>
        <v>98.382104098374384</v>
      </c>
      <c r="F50" s="377">
        <f t="shared" si="1"/>
        <v>-10736.651999999885</v>
      </c>
      <c r="G50" s="377"/>
      <c r="H50" s="377"/>
      <c r="I50" s="377"/>
      <c r="J50" s="377"/>
      <c r="K50" s="377"/>
      <c r="L50" s="377"/>
      <c r="M50" s="377"/>
      <c r="N50" s="377"/>
    </row>
    <row r="51" spans="1:14" s="405" customFormat="1" ht="43.5" customHeight="1" x14ac:dyDescent="0.25">
      <c r="A51" s="403" t="s">
        <v>691</v>
      </c>
      <c r="B51" s="404" t="s">
        <v>692</v>
      </c>
      <c r="C51" s="397">
        <f>C52+C53</f>
        <v>159729.136</v>
      </c>
      <c r="D51" s="397">
        <f>D52+D53</f>
        <v>159729.1</v>
      </c>
      <c r="E51" s="380">
        <f t="shared" si="0"/>
        <v>99.999977461845162</v>
      </c>
      <c r="F51" s="377">
        <f t="shared" si="1"/>
        <v>-3.599999999278225E-2</v>
      </c>
      <c r="G51" s="377"/>
      <c r="H51" s="377"/>
      <c r="I51" s="377"/>
      <c r="J51" s="377"/>
      <c r="K51" s="377"/>
      <c r="L51" s="377"/>
      <c r="M51" s="377"/>
      <c r="N51" s="377"/>
    </row>
    <row r="52" spans="1:14" s="402" customFormat="1" ht="37.5" x14ac:dyDescent="0.25">
      <c r="A52" s="399" t="s">
        <v>693</v>
      </c>
      <c r="B52" s="406" t="s">
        <v>694</v>
      </c>
      <c r="C52" s="401">
        <v>146006.70000000001</v>
      </c>
      <c r="D52" s="382">
        <v>146006.70000000001</v>
      </c>
      <c r="E52" s="380">
        <f t="shared" si="0"/>
        <v>100</v>
      </c>
      <c r="F52" s="377">
        <f t="shared" si="1"/>
        <v>0</v>
      </c>
      <c r="G52" s="377"/>
      <c r="H52" s="377"/>
      <c r="I52" s="377"/>
      <c r="J52" s="377"/>
      <c r="K52" s="377"/>
      <c r="L52" s="377"/>
      <c r="M52" s="377"/>
      <c r="N52" s="377"/>
    </row>
    <row r="53" spans="1:14" s="402" customFormat="1" ht="51" customHeight="1" x14ac:dyDescent="0.25">
      <c r="A53" s="399" t="s">
        <v>695</v>
      </c>
      <c r="B53" s="406" t="s">
        <v>696</v>
      </c>
      <c r="C53" s="401">
        <v>13722.436</v>
      </c>
      <c r="D53" s="382">
        <v>13722.4</v>
      </c>
      <c r="E53" s="380">
        <f t="shared" si="0"/>
        <v>99.999737655908902</v>
      </c>
      <c r="F53" s="377">
        <f t="shared" si="1"/>
        <v>-3.6000000000058208E-2</v>
      </c>
      <c r="G53" s="377"/>
      <c r="H53" s="377"/>
      <c r="I53" s="377"/>
      <c r="J53" s="377"/>
      <c r="K53" s="377"/>
      <c r="L53" s="377"/>
      <c r="M53" s="377"/>
      <c r="N53" s="377"/>
    </row>
    <row r="54" spans="1:14" s="405" customFormat="1" ht="36" customHeight="1" x14ac:dyDescent="0.25">
      <c r="A54" s="403" t="s">
        <v>697</v>
      </c>
      <c r="B54" s="404" t="s">
        <v>698</v>
      </c>
      <c r="C54" s="397">
        <f>C55+C56+C57+C58+C59+C60+C61+C62+C63+C64+C65+C66+C67+C68</f>
        <v>68701.399999999994</v>
      </c>
      <c r="D54" s="397">
        <f>D55+D56+D57+D58+D59+D60+D61+D62+D63+D64+D65+D66+D67+D68</f>
        <v>60844.183999999994</v>
      </c>
      <c r="E54" s="380">
        <f t="shared" si="0"/>
        <v>88.563237430387147</v>
      </c>
      <c r="F54" s="377">
        <f t="shared" si="1"/>
        <v>-7857.2160000000003</v>
      </c>
      <c r="G54" s="377"/>
      <c r="H54" s="377"/>
      <c r="I54" s="377"/>
      <c r="J54" s="377"/>
      <c r="K54" s="377"/>
      <c r="L54" s="377"/>
      <c r="M54" s="377"/>
      <c r="N54" s="377"/>
    </row>
    <row r="55" spans="1:14" s="405" customFormat="1" ht="79.5" customHeight="1" x14ac:dyDescent="0.25">
      <c r="A55" s="407" t="s">
        <v>699</v>
      </c>
      <c r="B55" s="408" t="s">
        <v>700</v>
      </c>
      <c r="C55" s="401">
        <v>1700</v>
      </c>
      <c r="D55" s="382">
        <v>1700</v>
      </c>
      <c r="E55" s="380">
        <f t="shared" si="0"/>
        <v>100</v>
      </c>
      <c r="F55" s="377">
        <f t="shared" si="1"/>
        <v>0</v>
      </c>
      <c r="G55" s="377"/>
      <c r="H55" s="377"/>
      <c r="I55" s="377"/>
      <c r="J55" s="377"/>
      <c r="K55" s="377"/>
      <c r="L55" s="377"/>
      <c r="M55" s="377"/>
      <c r="N55" s="377"/>
    </row>
    <row r="56" spans="1:14" s="405" customFormat="1" ht="79.5" customHeight="1" x14ac:dyDescent="0.25">
      <c r="A56" s="407" t="s">
        <v>701</v>
      </c>
      <c r="B56" s="408" t="s">
        <v>702</v>
      </c>
      <c r="C56" s="401">
        <v>60</v>
      </c>
      <c r="D56" s="382">
        <v>60</v>
      </c>
      <c r="E56" s="380">
        <f t="shared" si="0"/>
        <v>100</v>
      </c>
      <c r="F56" s="377">
        <f t="shared" si="1"/>
        <v>0</v>
      </c>
      <c r="G56" s="377"/>
      <c r="H56" s="377"/>
      <c r="I56" s="377"/>
      <c r="J56" s="377"/>
      <c r="K56" s="377"/>
      <c r="L56" s="377"/>
      <c r="M56" s="377"/>
      <c r="N56" s="377"/>
    </row>
    <row r="57" spans="1:14" s="405" customFormat="1" ht="63" customHeight="1" x14ac:dyDescent="0.25">
      <c r="A57" s="407" t="s">
        <v>701</v>
      </c>
      <c r="B57" s="357" t="s">
        <v>703</v>
      </c>
      <c r="C57" s="409"/>
      <c r="D57" s="382"/>
      <c r="E57" s="380" t="e">
        <f t="shared" si="0"/>
        <v>#DIV/0!</v>
      </c>
      <c r="F57" s="377">
        <f t="shared" si="1"/>
        <v>0</v>
      </c>
      <c r="G57" s="377"/>
      <c r="H57" s="377"/>
      <c r="I57" s="377"/>
      <c r="J57" s="377"/>
      <c r="K57" s="377"/>
      <c r="L57" s="377"/>
      <c r="M57" s="377"/>
      <c r="N57" s="377"/>
    </row>
    <row r="58" spans="1:14" s="405" customFormat="1" ht="123.75" customHeight="1" x14ac:dyDescent="0.25">
      <c r="A58" s="410" t="s">
        <v>704</v>
      </c>
      <c r="B58" s="357" t="s">
        <v>291</v>
      </c>
      <c r="C58" s="409" t="s">
        <v>705</v>
      </c>
      <c r="D58" s="382">
        <v>12428.9</v>
      </c>
      <c r="E58" s="380">
        <f t="shared" si="0"/>
        <v>100</v>
      </c>
      <c r="F58" s="377">
        <f t="shared" si="1"/>
        <v>0</v>
      </c>
      <c r="G58" s="377"/>
      <c r="H58" s="377"/>
      <c r="I58" s="377"/>
      <c r="J58" s="377"/>
      <c r="K58" s="377"/>
      <c r="L58" s="377"/>
      <c r="M58" s="377"/>
      <c r="N58" s="377"/>
    </row>
    <row r="59" spans="1:14" s="405" customFormat="1" ht="72" customHeight="1" x14ac:dyDescent="0.25">
      <c r="A59" s="410" t="s">
        <v>706</v>
      </c>
      <c r="B59" s="357" t="s">
        <v>707</v>
      </c>
      <c r="C59" s="409" t="s">
        <v>708</v>
      </c>
      <c r="D59" s="382">
        <v>1375.8</v>
      </c>
      <c r="E59" s="380">
        <f t="shared" si="0"/>
        <v>100</v>
      </c>
      <c r="F59" s="377">
        <f t="shared" si="1"/>
        <v>0</v>
      </c>
      <c r="G59" s="377"/>
      <c r="H59" s="377"/>
      <c r="I59" s="377"/>
      <c r="J59" s="377"/>
      <c r="K59" s="377"/>
      <c r="L59" s="377"/>
      <c r="M59" s="377"/>
      <c r="N59" s="377"/>
    </row>
    <row r="60" spans="1:14" s="405" customFormat="1" ht="72" customHeight="1" x14ac:dyDescent="0.25">
      <c r="A60" s="410" t="s">
        <v>709</v>
      </c>
      <c r="B60" s="357" t="s">
        <v>710</v>
      </c>
      <c r="C60" s="409" t="s">
        <v>711</v>
      </c>
      <c r="D60" s="382">
        <v>1320</v>
      </c>
      <c r="E60" s="380">
        <f t="shared" si="0"/>
        <v>100</v>
      </c>
      <c r="F60" s="377">
        <f t="shared" si="1"/>
        <v>0</v>
      </c>
      <c r="G60" s="377"/>
      <c r="H60" s="377"/>
      <c r="I60" s="377"/>
      <c r="J60" s="377"/>
      <c r="K60" s="377"/>
      <c r="L60" s="377"/>
      <c r="M60" s="377"/>
      <c r="N60" s="377"/>
    </row>
    <row r="61" spans="1:14" s="405" customFormat="1" ht="61.5" customHeight="1" x14ac:dyDescent="0.25">
      <c r="A61" s="410" t="s">
        <v>712</v>
      </c>
      <c r="B61" s="357" t="s">
        <v>713</v>
      </c>
      <c r="C61" s="409"/>
      <c r="D61" s="382"/>
      <c r="E61" s="380" t="e">
        <f t="shared" si="0"/>
        <v>#DIV/0!</v>
      </c>
      <c r="F61" s="377">
        <f t="shared" si="1"/>
        <v>0</v>
      </c>
      <c r="G61" s="377"/>
      <c r="H61" s="377"/>
      <c r="I61" s="377"/>
      <c r="J61" s="377"/>
      <c r="K61" s="377"/>
      <c r="L61" s="377"/>
      <c r="M61" s="377"/>
      <c r="N61" s="377"/>
    </row>
    <row r="62" spans="1:14" s="405" customFormat="1" ht="61.5" customHeight="1" x14ac:dyDescent="0.25">
      <c r="A62" s="410" t="s">
        <v>714</v>
      </c>
      <c r="B62" s="357" t="s">
        <v>715</v>
      </c>
      <c r="C62" s="409" t="s">
        <v>716</v>
      </c>
      <c r="D62" s="382">
        <v>1212</v>
      </c>
      <c r="E62" s="380">
        <f t="shared" si="0"/>
        <v>100</v>
      </c>
      <c r="F62" s="377">
        <f t="shared" si="1"/>
        <v>0</v>
      </c>
      <c r="G62" s="377"/>
      <c r="H62" s="377"/>
      <c r="I62" s="377"/>
      <c r="J62" s="377"/>
      <c r="K62" s="377"/>
      <c r="L62" s="377"/>
      <c r="M62" s="377"/>
      <c r="N62" s="377"/>
    </row>
    <row r="63" spans="1:14" s="405" customFormat="1" ht="61.5" customHeight="1" x14ac:dyDescent="0.25">
      <c r="A63" s="410" t="s">
        <v>717</v>
      </c>
      <c r="B63" s="357" t="s">
        <v>718</v>
      </c>
      <c r="C63" s="409" t="s">
        <v>719</v>
      </c>
      <c r="D63" s="382">
        <v>950</v>
      </c>
      <c r="E63" s="380">
        <f t="shared" si="0"/>
        <v>100</v>
      </c>
      <c r="F63" s="377">
        <f t="shared" si="1"/>
        <v>0</v>
      </c>
      <c r="G63" s="377"/>
      <c r="H63" s="377"/>
      <c r="I63" s="377"/>
      <c r="J63" s="377"/>
      <c r="K63" s="377"/>
      <c r="L63" s="377"/>
      <c r="M63" s="377"/>
      <c r="N63" s="377"/>
    </row>
    <row r="64" spans="1:14" s="405" customFormat="1" ht="92.25" customHeight="1" x14ac:dyDescent="0.25">
      <c r="A64" s="410" t="s">
        <v>720</v>
      </c>
      <c r="B64" s="357" t="s">
        <v>721</v>
      </c>
      <c r="C64" s="409" t="s">
        <v>722</v>
      </c>
      <c r="D64" s="382">
        <v>1670</v>
      </c>
      <c r="E64" s="380">
        <f t="shared" si="0"/>
        <v>100</v>
      </c>
      <c r="F64" s="377">
        <f t="shared" si="1"/>
        <v>0</v>
      </c>
      <c r="G64" s="377"/>
      <c r="H64" s="377"/>
      <c r="I64" s="377"/>
      <c r="J64" s="377"/>
      <c r="K64" s="377"/>
      <c r="L64" s="377"/>
      <c r="M64" s="377"/>
      <c r="N64" s="377"/>
    </row>
    <row r="65" spans="1:14" s="405" customFormat="1" ht="71.25" customHeight="1" x14ac:dyDescent="0.25">
      <c r="A65" s="411" t="s">
        <v>723</v>
      </c>
      <c r="B65" s="412" t="s">
        <v>724</v>
      </c>
      <c r="C65" s="409" t="s">
        <v>725</v>
      </c>
      <c r="D65" s="382">
        <v>11403.397999999999</v>
      </c>
      <c r="E65" s="380">
        <f t="shared" si="0"/>
        <v>99.999982461371161</v>
      </c>
      <c r="F65" s="377">
        <f t="shared" si="1"/>
        <v>-2.0000000004074536E-3</v>
      </c>
      <c r="G65" s="377"/>
      <c r="H65" s="377"/>
      <c r="I65" s="377"/>
      <c r="J65" s="377"/>
      <c r="K65" s="377"/>
      <c r="L65" s="377"/>
      <c r="M65" s="377"/>
      <c r="N65" s="377"/>
    </row>
    <row r="66" spans="1:14" s="405" customFormat="1" ht="79.5" customHeight="1" x14ac:dyDescent="0.25">
      <c r="A66" s="411" t="s">
        <v>726</v>
      </c>
      <c r="B66" s="412" t="s">
        <v>727</v>
      </c>
      <c r="C66" s="409" t="s">
        <v>728</v>
      </c>
      <c r="D66" s="382">
        <v>3786.4</v>
      </c>
      <c r="E66" s="380">
        <f t="shared" si="0"/>
        <v>100</v>
      </c>
      <c r="F66" s="377">
        <f t="shared" si="1"/>
        <v>0</v>
      </c>
      <c r="G66" s="377"/>
      <c r="H66" s="377"/>
      <c r="I66" s="377"/>
      <c r="J66" s="377"/>
      <c r="K66" s="377"/>
      <c r="L66" s="377"/>
      <c r="M66" s="377"/>
      <c r="N66" s="377"/>
    </row>
    <row r="67" spans="1:14" s="405" customFormat="1" ht="79.5" customHeight="1" x14ac:dyDescent="0.25">
      <c r="A67" s="410" t="s">
        <v>709</v>
      </c>
      <c r="B67" s="412" t="s">
        <v>729</v>
      </c>
      <c r="C67" s="409" t="s">
        <v>730</v>
      </c>
      <c r="D67" s="382">
        <v>21042.74</v>
      </c>
      <c r="E67" s="380">
        <f t="shared" si="0"/>
        <v>73.332682811231265</v>
      </c>
      <c r="F67" s="377">
        <f t="shared" si="1"/>
        <v>-7652.16</v>
      </c>
      <c r="G67" s="377"/>
      <c r="H67" s="377"/>
      <c r="I67" s="377"/>
      <c r="J67" s="377"/>
      <c r="K67" s="377"/>
      <c r="L67" s="377"/>
      <c r="M67" s="377"/>
      <c r="N67" s="377"/>
    </row>
    <row r="68" spans="1:14" s="405" customFormat="1" ht="79.5" customHeight="1" x14ac:dyDescent="0.25">
      <c r="A68" s="410" t="s">
        <v>709</v>
      </c>
      <c r="B68" s="412" t="s">
        <v>489</v>
      </c>
      <c r="C68" s="409" t="s">
        <v>731</v>
      </c>
      <c r="D68" s="382">
        <v>3894.9459999999999</v>
      </c>
      <c r="E68" s="380">
        <f t="shared" si="0"/>
        <v>94.998682926829275</v>
      </c>
      <c r="F68" s="377">
        <f t="shared" si="1"/>
        <v>-205.05400000000009</v>
      </c>
      <c r="G68" s="377"/>
      <c r="H68" s="377"/>
      <c r="I68" s="377"/>
      <c r="J68" s="377"/>
      <c r="K68" s="377"/>
      <c r="L68" s="377"/>
      <c r="M68" s="377"/>
      <c r="N68" s="377"/>
    </row>
    <row r="69" spans="1:14" s="405" customFormat="1" ht="37.5" x14ac:dyDescent="0.25">
      <c r="A69" s="403" t="s">
        <v>732</v>
      </c>
      <c r="B69" s="404" t="s">
        <v>733</v>
      </c>
      <c r="C69" s="397">
        <f>C70+C71+C73+C74+C75+C76+C77+C79+C80</f>
        <v>428907.08500000002</v>
      </c>
      <c r="D69" s="397">
        <f>D70+D71+D73+D74+D75+D76+D77+D79+D80</f>
        <v>426370.10000000003</v>
      </c>
      <c r="E69" s="380">
        <f t="shared" si="0"/>
        <v>99.408500095073038</v>
      </c>
      <c r="F69" s="377">
        <f t="shared" si="1"/>
        <v>-2536.984999999986</v>
      </c>
      <c r="G69" s="377"/>
      <c r="H69" s="377"/>
      <c r="I69" s="377"/>
      <c r="J69" s="377"/>
      <c r="K69" s="377"/>
      <c r="L69" s="377"/>
      <c r="M69" s="377"/>
      <c r="N69" s="377"/>
    </row>
    <row r="70" spans="1:14" s="405" customFormat="1" ht="78.75" customHeight="1" x14ac:dyDescent="0.25">
      <c r="A70" s="399" t="s">
        <v>734</v>
      </c>
      <c r="B70" s="400" t="s">
        <v>735</v>
      </c>
      <c r="C70" s="401">
        <v>6920</v>
      </c>
      <c r="D70" s="382">
        <v>6920</v>
      </c>
      <c r="E70" s="380">
        <f t="shared" si="0"/>
        <v>100</v>
      </c>
      <c r="F70" s="377">
        <f t="shared" si="1"/>
        <v>0</v>
      </c>
      <c r="G70" s="377"/>
      <c r="H70" s="377"/>
      <c r="I70" s="377"/>
      <c r="J70" s="377"/>
      <c r="K70" s="377"/>
      <c r="L70" s="377"/>
      <c r="M70" s="377"/>
      <c r="N70" s="377"/>
    </row>
    <row r="71" spans="1:14" s="405" customFormat="1" ht="56.25" x14ac:dyDescent="0.25">
      <c r="A71" s="388" t="s">
        <v>736</v>
      </c>
      <c r="B71" s="413" t="s">
        <v>737</v>
      </c>
      <c r="C71" s="401">
        <v>302548.7</v>
      </c>
      <c r="D71" s="382">
        <v>302500.7</v>
      </c>
      <c r="E71" s="380">
        <f t="shared" si="0"/>
        <v>99.98413478557336</v>
      </c>
      <c r="F71" s="377">
        <f t="shared" si="1"/>
        <v>-48</v>
      </c>
      <c r="G71" s="377"/>
      <c r="H71" s="377"/>
      <c r="I71" s="377"/>
      <c r="J71" s="377"/>
      <c r="K71" s="377"/>
      <c r="L71" s="377"/>
      <c r="M71" s="377"/>
      <c r="N71" s="377"/>
    </row>
    <row r="72" spans="1:14" s="405" customFormat="1" ht="75" hidden="1" customHeight="1" x14ac:dyDescent="0.25">
      <c r="A72" s="399" t="s">
        <v>738</v>
      </c>
      <c r="B72" s="400" t="s">
        <v>739</v>
      </c>
      <c r="C72" s="397"/>
      <c r="D72" s="382">
        <f ca="1">E72-C72</f>
        <v>0</v>
      </c>
      <c r="E72" s="380">
        <f t="shared" ca="1" si="0"/>
        <v>99.588034991562949</v>
      </c>
      <c r="F72" s="377">
        <f t="shared" ca="1" si="1"/>
        <v>0</v>
      </c>
      <c r="G72" s="377"/>
      <c r="H72" s="377"/>
      <c r="I72" s="377"/>
      <c r="J72" s="377"/>
      <c r="K72" s="377"/>
      <c r="L72" s="377"/>
      <c r="M72" s="377"/>
      <c r="N72" s="377"/>
    </row>
    <row r="73" spans="1:14" s="402" customFormat="1" ht="61.5" customHeight="1" x14ac:dyDescent="0.25">
      <c r="A73" s="399" t="s">
        <v>740</v>
      </c>
      <c r="B73" s="400" t="s">
        <v>741</v>
      </c>
      <c r="C73" s="401">
        <v>1293.8</v>
      </c>
      <c r="D73" s="382">
        <v>1293.8</v>
      </c>
      <c r="E73" s="380">
        <f t="shared" si="0"/>
        <v>100</v>
      </c>
      <c r="F73" s="377">
        <f t="shared" si="1"/>
        <v>0</v>
      </c>
      <c r="G73" s="377"/>
      <c r="H73" s="377"/>
      <c r="I73" s="377"/>
      <c r="J73" s="377"/>
      <c r="K73" s="377"/>
      <c r="L73" s="377"/>
      <c r="M73" s="377"/>
      <c r="N73" s="377"/>
    </row>
    <row r="74" spans="1:14" s="402" customFormat="1" ht="104.25" customHeight="1" x14ac:dyDescent="0.25">
      <c r="A74" s="399" t="s">
        <v>742</v>
      </c>
      <c r="B74" s="400" t="s">
        <v>743</v>
      </c>
      <c r="C74" s="401">
        <v>22.4</v>
      </c>
      <c r="D74" s="382">
        <v>22.4</v>
      </c>
      <c r="E74" s="380">
        <f t="shared" si="0"/>
        <v>100</v>
      </c>
      <c r="F74" s="377">
        <f t="shared" si="1"/>
        <v>0</v>
      </c>
      <c r="G74" s="377"/>
      <c r="H74" s="377"/>
      <c r="I74" s="377"/>
      <c r="J74" s="377"/>
      <c r="K74" s="377"/>
      <c r="L74" s="377"/>
      <c r="M74" s="377"/>
      <c r="N74" s="377"/>
    </row>
    <row r="75" spans="1:14" s="402" customFormat="1" ht="66.75" customHeight="1" x14ac:dyDescent="0.25">
      <c r="A75" s="399" t="s">
        <v>744</v>
      </c>
      <c r="B75" s="400" t="s">
        <v>745</v>
      </c>
      <c r="C75" s="401">
        <f>103480.845-38417.3</f>
        <v>65063.544999999998</v>
      </c>
      <c r="D75" s="382">
        <v>64675.5</v>
      </c>
      <c r="E75" s="380">
        <f t="shared" si="0"/>
        <v>99.403590751164884</v>
      </c>
      <c r="F75" s="377">
        <f t="shared" si="1"/>
        <v>-388.04499999999825</v>
      </c>
      <c r="G75" s="377"/>
      <c r="H75" s="377"/>
      <c r="I75" s="377"/>
      <c r="J75" s="377"/>
      <c r="K75" s="377"/>
      <c r="L75" s="377"/>
      <c r="M75" s="377"/>
      <c r="N75" s="377"/>
    </row>
    <row r="76" spans="1:14" s="402" customFormat="1" ht="56.25" x14ac:dyDescent="0.25">
      <c r="A76" s="399" t="s">
        <v>746</v>
      </c>
      <c r="B76" s="400" t="s">
        <v>747</v>
      </c>
      <c r="C76" s="401">
        <v>6458</v>
      </c>
      <c r="D76" s="382">
        <v>6458</v>
      </c>
      <c r="E76" s="380">
        <f t="shared" si="0"/>
        <v>100</v>
      </c>
      <c r="F76" s="377">
        <f t="shared" si="1"/>
        <v>0</v>
      </c>
      <c r="G76" s="377"/>
      <c r="H76" s="377"/>
      <c r="I76" s="377"/>
      <c r="J76" s="377"/>
      <c r="K76" s="377"/>
      <c r="L76" s="377"/>
      <c r="M76" s="377"/>
      <c r="N76" s="377"/>
    </row>
    <row r="77" spans="1:14" s="402" customFormat="1" ht="131.25" customHeight="1" x14ac:dyDescent="0.25">
      <c r="A77" s="399" t="s">
        <v>748</v>
      </c>
      <c r="B77" s="400" t="s">
        <v>749</v>
      </c>
      <c r="C77" s="401">
        <f>23372.49-800</f>
        <v>22572.49</v>
      </c>
      <c r="D77" s="382">
        <v>20523.2</v>
      </c>
      <c r="E77" s="380">
        <f t="shared" si="0"/>
        <v>90.921294017629421</v>
      </c>
      <c r="F77" s="377">
        <f t="shared" si="1"/>
        <v>-2049.2900000000009</v>
      </c>
    </row>
    <row r="78" spans="1:14" s="402" customFormat="1" ht="75" hidden="1" customHeight="1" x14ac:dyDescent="0.25">
      <c r="A78" s="399" t="s">
        <v>750</v>
      </c>
      <c r="B78" s="400" t="s">
        <v>751</v>
      </c>
      <c r="C78" s="401"/>
      <c r="D78" s="382">
        <f ca="1">E78-C78</f>
        <v>0</v>
      </c>
      <c r="E78" s="380">
        <f t="shared" ca="1" si="0"/>
        <v>99.588034991562949</v>
      </c>
      <c r="F78" s="377">
        <f t="shared" ca="1" si="1"/>
        <v>0</v>
      </c>
    </row>
    <row r="79" spans="1:14" s="402" customFormat="1" ht="78.75" customHeight="1" x14ac:dyDescent="0.25">
      <c r="A79" s="399" t="s">
        <v>752</v>
      </c>
      <c r="B79" s="400" t="s">
        <v>753</v>
      </c>
      <c r="C79" s="401">
        <v>18334.7</v>
      </c>
      <c r="D79" s="382">
        <v>18283</v>
      </c>
      <c r="E79" s="380">
        <f t="shared" si="0"/>
        <v>99.718021020251214</v>
      </c>
      <c r="F79" s="377">
        <f t="shared" si="1"/>
        <v>-51.700000000000728</v>
      </c>
    </row>
    <row r="80" spans="1:14" s="402" customFormat="1" ht="120.75" customHeight="1" x14ac:dyDescent="0.3">
      <c r="A80" s="388" t="s">
        <v>754</v>
      </c>
      <c r="B80" s="392" t="s">
        <v>755</v>
      </c>
      <c r="C80" s="401">
        <v>5693.45</v>
      </c>
      <c r="D80" s="382">
        <v>5693.5</v>
      </c>
      <c r="E80" s="380">
        <f t="shared" ref="E80:E85" si="2">D80/C80*100</f>
        <v>100.00087820214458</v>
      </c>
      <c r="F80" s="377">
        <f t="shared" ref="F80:F85" si="3">D80-C80</f>
        <v>5.0000000000181899E-2</v>
      </c>
    </row>
    <row r="81" spans="1:14" s="402" customFormat="1" ht="99.75" customHeight="1" x14ac:dyDescent="0.25">
      <c r="A81" s="399" t="s">
        <v>756</v>
      </c>
      <c r="B81" s="400" t="s">
        <v>757</v>
      </c>
      <c r="C81" s="401"/>
      <c r="D81" s="382">
        <f ca="1">E81-C81</f>
        <v>0</v>
      </c>
      <c r="E81" s="380">
        <f t="shared" ca="1" si="2"/>
        <v>99.588034991562949</v>
      </c>
      <c r="F81" s="377">
        <f t="shared" ca="1" si="3"/>
        <v>0</v>
      </c>
    </row>
    <row r="82" spans="1:14" s="405" customFormat="1" ht="24" customHeight="1" x14ac:dyDescent="0.25">
      <c r="A82" s="403" t="s">
        <v>758</v>
      </c>
      <c r="B82" s="414" t="s">
        <v>207</v>
      </c>
      <c r="C82" s="397">
        <f>C83+C84</f>
        <v>6280.6</v>
      </c>
      <c r="D82" s="397">
        <f>D83+D84</f>
        <v>5938.1850000000004</v>
      </c>
      <c r="E82" s="380">
        <f t="shared" si="2"/>
        <v>94.54805273381524</v>
      </c>
      <c r="F82" s="377">
        <f t="shared" si="3"/>
        <v>-342.41499999999996</v>
      </c>
    </row>
    <row r="83" spans="1:14" s="405" customFormat="1" ht="112.5" customHeight="1" x14ac:dyDescent="0.25">
      <c r="A83" s="407" t="s">
        <v>759</v>
      </c>
      <c r="B83" s="415" t="s">
        <v>760</v>
      </c>
      <c r="C83" s="401">
        <v>200</v>
      </c>
      <c r="D83" s="382">
        <v>200</v>
      </c>
      <c r="E83" s="380">
        <f t="shared" si="2"/>
        <v>100</v>
      </c>
      <c r="F83" s="377">
        <f t="shared" si="3"/>
        <v>0</v>
      </c>
    </row>
    <row r="84" spans="1:14" s="405" customFormat="1" ht="122.25" customHeight="1" x14ac:dyDescent="0.25">
      <c r="A84" s="407" t="s">
        <v>761</v>
      </c>
      <c r="B84" s="415" t="s">
        <v>762</v>
      </c>
      <c r="C84" s="401">
        <v>6080.6</v>
      </c>
      <c r="D84" s="382">
        <v>5738.1850000000004</v>
      </c>
      <c r="E84" s="380">
        <f t="shared" si="2"/>
        <v>94.368730059533604</v>
      </c>
      <c r="F84" s="377">
        <f t="shared" si="3"/>
        <v>-342.41499999999996</v>
      </c>
    </row>
    <row r="85" spans="1:14" s="417" customFormat="1" ht="33.75" customHeight="1" x14ac:dyDescent="0.2">
      <c r="A85" s="378"/>
      <c r="B85" s="416" t="s">
        <v>763</v>
      </c>
      <c r="C85" s="397">
        <f>C15+C49</f>
        <v>708782.25100000005</v>
      </c>
      <c r="D85" s="397">
        <f>D15+D49</f>
        <v>698211.54400000011</v>
      </c>
      <c r="E85" s="380">
        <f t="shared" si="2"/>
        <v>98.508610086513031</v>
      </c>
      <c r="F85" s="377">
        <f t="shared" si="3"/>
        <v>-10570.706999999937</v>
      </c>
    </row>
    <row r="86" spans="1:14" x14ac:dyDescent="0.25">
      <c r="B86" s="418"/>
    </row>
    <row r="87" spans="1:14" s="421" customFormat="1" ht="15.75" x14ac:dyDescent="0.25">
      <c r="A87" s="419" t="s">
        <v>764</v>
      </c>
      <c r="B87" s="419"/>
      <c r="C87" s="420"/>
      <c r="D87" s="420"/>
      <c r="E87" s="420"/>
      <c r="F87" s="420"/>
      <c r="G87" s="420"/>
      <c r="H87" s="420"/>
      <c r="I87" s="420"/>
      <c r="J87" s="420"/>
      <c r="K87" s="420"/>
      <c r="L87" s="420"/>
      <c r="M87" s="420"/>
      <c r="N87" s="420"/>
    </row>
    <row r="88" spans="1:14" s="421" customFormat="1" ht="15.75" x14ac:dyDescent="0.25">
      <c r="A88" s="419" t="s">
        <v>765</v>
      </c>
      <c r="B88" s="422"/>
      <c r="C88" s="420"/>
      <c r="D88" s="420"/>
      <c r="E88" s="420"/>
      <c r="F88" s="420"/>
      <c r="G88" s="420"/>
      <c r="H88" s="420"/>
      <c r="I88" s="420"/>
      <c r="J88" s="420"/>
      <c r="K88" s="420"/>
      <c r="L88" s="420"/>
      <c r="M88" s="420"/>
      <c r="N88" s="420"/>
    </row>
    <row r="89" spans="1:14" x14ac:dyDescent="0.25">
      <c r="B89" s="418"/>
    </row>
    <row r="90" spans="1:14" x14ac:dyDescent="0.25">
      <c r="B90" s="418"/>
    </row>
    <row r="91" spans="1:14" x14ac:dyDescent="0.25">
      <c r="B91" s="418"/>
    </row>
    <row r="92" spans="1:14" x14ac:dyDescent="0.25">
      <c r="B92" s="418"/>
    </row>
    <row r="93" spans="1:14" x14ac:dyDescent="0.25">
      <c r="B93" s="418"/>
    </row>
    <row r="94" spans="1:14" x14ac:dyDescent="0.25">
      <c r="B94" s="418"/>
    </row>
    <row r="95" spans="1:14" x14ac:dyDescent="0.25">
      <c r="B95" s="418"/>
    </row>
    <row r="96" spans="1:14" x14ac:dyDescent="0.25">
      <c r="B96" s="418"/>
    </row>
    <row r="97" spans="2:2" x14ac:dyDescent="0.25">
      <c r="B97" s="418"/>
    </row>
    <row r="98" spans="2:2" x14ac:dyDescent="0.25">
      <c r="B98" s="418"/>
    </row>
    <row r="99" spans="2:2" x14ac:dyDescent="0.25">
      <c r="B99" s="418"/>
    </row>
    <row r="100" spans="2:2" x14ac:dyDescent="0.25">
      <c r="B100" s="418"/>
    </row>
    <row r="101" spans="2:2" x14ac:dyDescent="0.25">
      <c r="B101" s="418"/>
    </row>
    <row r="102" spans="2:2" x14ac:dyDescent="0.25">
      <c r="B102" s="418"/>
    </row>
    <row r="103" spans="2:2" x14ac:dyDescent="0.25">
      <c r="B103" s="418"/>
    </row>
    <row r="104" spans="2:2" x14ac:dyDescent="0.25">
      <c r="B104" s="418"/>
    </row>
    <row r="105" spans="2:2" x14ac:dyDescent="0.25">
      <c r="B105" s="418"/>
    </row>
    <row r="106" spans="2:2" x14ac:dyDescent="0.25">
      <c r="B106" s="418"/>
    </row>
    <row r="107" spans="2:2" x14ac:dyDescent="0.25">
      <c r="B107" s="418"/>
    </row>
    <row r="108" spans="2:2" x14ac:dyDescent="0.25">
      <c r="B108" s="418"/>
    </row>
    <row r="109" spans="2:2" x14ac:dyDescent="0.25">
      <c r="B109" s="418"/>
    </row>
    <row r="110" spans="2:2" x14ac:dyDescent="0.25">
      <c r="B110" s="418"/>
    </row>
    <row r="111" spans="2:2" x14ac:dyDescent="0.25">
      <c r="B111" s="418"/>
    </row>
    <row r="112" spans="2:2" x14ac:dyDescent="0.25">
      <c r="B112" s="418"/>
    </row>
    <row r="113" spans="2:2" x14ac:dyDescent="0.25">
      <c r="B113" s="418"/>
    </row>
    <row r="114" spans="2:2" x14ac:dyDescent="0.25">
      <c r="B114" s="418"/>
    </row>
    <row r="115" spans="2:2" x14ac:dyDescent="0.25">
      <c r="B115" s="418"/>
    </row>
    <row r="116" spans="2:2" x14ac:dyDescent="0.25">
      <c r="B116" s="418"/>
    </row>
    <row r="117" spans="2:2" x14ac:dyDescent="0.25">
      <c r="B117" s="418"/>
    </row>
    <row r="118" spans="2:2" x14ac:dyDescent="0.25">
      <c r="B118" s="418"/>
    </row>
    <row r="119" spans="2:2" x14ac:dyDescent="0.25">
      <c r="B119" s="418"/>
    </row>
    <row r="120" spans="2:2" x14ac:dyDescent="0.25">
      <c r="B120" s="418"/>
    </row>
    <row r="121" spans="2:2" x14ac:dyDescent="0.25">
      <c r="B121" s="418"/>
    </row>
    <row r="122" spans="2:2" x14ac:dyDescent="0.25">
      <c r="B122" s="418"/>
    </row>
    <row r="123" spans="2:2" x14ac:dyDescent="0.25">
      <c r="B123" s="418"/>
    </row>
    <row r="124" spans="2:2" x14ac:dyDescent="0.25">
      <c r="B124" s="418"/>
    </row>
    <row r="125" spans="2:2" x14ac:dyDescent="0.25">
      <c r="B125" s="418"/>
    </row>
    <row r="126" spans="2:2" x14ac:dyDescent="0.25">
      <c r="B126" s="418"/>
    </row>
    <row r="127" spans="2:2" x14ac:dyDescent="0.25">
      <c r="B127" s="418"/>
    </row>
    <row r="128" spans="2:2" x14ac:dyDescent="0.25">
      <c r="B128" s="418"/>
    </row>
    <row r="129" spans="2:2" x14ac:dyDescent="0.25">
      <c r="B129" s="418"/>
    </row>
    <row r="130" spans="2:2" x14ac:dyDescent="0.25">
      <c r="B130" s="418"/>
    </row>
    <row r="131" spans="2:2" x14ac:dyDescent="0.25">
      <c r="B131" s="418"/>
    </row>
    <row r="132" spans="2:2" x14ac:dyDescent="0.25">
      <c r="B132" s="418"/>
    </row>
    <row r="133" spans="2:2" x14ac:dyDescent="0.25">
      <c r="B133" s="418"/>
    </row>
    <row r="134" spans="2:2" x14ac:dyDescent="0.25">
      <c r="B134" s="418"/>
    </row>
    <row r="135" spans="2:2" x14ac:dyDescent="0.25">
      <c r="B135" s="418"/>
    </row>
    <row r="136" spans="2:2" x14ac:dyDescent="0.25">
      <c r="B136" s="418"/>
    </row>
    <row r="137" spans="2:2" x14ac:dyDescent="0.25">
      <c r="B137" s="418"/>
    </row>
    <row r="138" spans="2:2" x14ac:dyDescent="0.25">
      <c r="B138" s="418"/>
    </row>
    <row r="139" spans="2:2" x14ac:dyDescent="0.25">
      <c r="B139" s="418"/>
    </row>
    <row r="140" spans="2:2" x14ac:dyDescent="0.25">
      <c r="B140" s="418"/>
    </row>
    <row r="141" spans="2:2" x14ac:dyDescent="0.25">
      <c r="B141" s="418"/>
    </row>
    <row r="142" spans="2:2" x14ac:dyDescent="0.25">
      <c r="B142" s="418"/>
    </row>
    <row r="143" spans="2:2" x14ac:dyDescent="0.25">
      <c r="B143" s="418"/>
    </row>
    <row r="144" spans="2:2" x14ac:dyDescent="0.25">
      <c r="B144" s="418"/>
    </row>
    <row r="145" spans="2:2" x14ac:dyDescent="0.25">
      <c r="B145" s="418"/>
    </row>
    <row r="146" spans="2:2" x14ac:dyDescent="0.25">
      <c r="B146" s="418"/>
    </row>
    <row r="147" spans="2:2" x14ac:dyDescent="0.25">
      <c r="B147" s="418"/>
    </row>
    <row r="148" spans="2:2" x14ac:dyDescent="0.25">
      <c r="B148" s="418"/>
    </row>
    <row r="149" spans="2:2" x14ac:dyDescent="0.25">
      <c r="B149" s="418"/>
    </row>
    <row r="150" spans="2:2" x14ac:dyDescent="0.25">
      <c r="B150" s="418"/>
    </row>
    <row r="151" spans="2:2" x14ac:dyDescent="0.25">
      <c r="B151" s="418"/>
    </row>
    <row r="152" spans="2:2" x14ac:dyDescent="0.25">
      <c r="B152" s="418"/>
    </row>
    <row r="153" spans="2:2" x14ac:dyDescent="0.25">
      <c r="B153" s="418"/>
    </row>
    <row r="154" spans="2:2" x14ac:dyDescent="0.25">
      <c r="B154" s="418"/>
    </row>
    <row r="155" spans="2:2" x14ac:dyDescent="0.25">
      <c r="B155" s="418"/>
    </row>
    <row r="156" spans="2:2" x14ac:dyDescent="0.25">
      <c r="B156" s="418"/>
    </row>
    <row r="157" spans="2:2" x14ac:dyDescent="0.25">
      <c r="B157" s="418"/>
    </row>
    <row r="158" spans="2:2" x14ac:dyDescent="0.25">
      <c r="B158" s="418"/>
    </row>
    <row r="159" spans="2:2" x14ac:dyDescent="0.25">
      <c r="B159" s="418"/>
    </row>
    <row r="160" spans="2:2" x14ac:dyDescent="0.25">
      <c r="B160" s="418"/>
    </row>
    <row r="161" spans="2:2" x14ac:dyDescent="0.25">
      <c r="B161" s="418"/>
    </row>
    <row r="162" spans="2:2" x14ac:dyDescent="0.25">
      <c r="B162" s="418"/>
    </row>
    <row r="163" spans="2:2" x14ac:dyDescent="0.25">
      <c r="B163" s="418"/>
    </row>
    <row r="164" spans="2:2" x14ac:dyDescent="0.25">
      <c r="B164" s="418"/>
    </row>
    <row r="165" spans="2:2" x14ac:dyDescent="0.25">
      <c r="B165" s="418"/>
    </row>
    <row r="166" spans="2:2" x14ac:dyDescent="0.25">
      <c r="B166" s="418"/>
    </row>
    <row r="167" spans="2:2" x14ac:dyDescent="0.25">
      <c r="B167" s="418"/>
    </row>
    <row r="168" spans="2:2" x14ac:dyDescent="0.25">
      <c r="B168" s="418"/>
    </row>
    <row r="169" spans="2:2" x14ac:dyDescent="0.25">
      <c r="B169" s="418"/>
    </row>
    <row r="170" spans="2:2" x14ac:dyDescent="0.25">
      <c r="B170" s="418"/>
    </row>
    <row r="171" spans="2:2" x14ac:dyDescent="0.25">
      <c r="B171" s="418"/>
    </row>
    <row r="172" spans="2:2" x14ac:dyDescent="0.25">
      <c r="B172" s="418"/>
    </row>
    <row r="173" spans="2:2" x14ac:dyDescent="0.25">
      <c r="B173" s="418"/>
    </row>
    <row r="174" spans="2:2" x14ac:dyDescent="0.25">
      <c r="B174" s="418"/>
    </row>
    <row r="175" spans="2:2" x14ac:dyDescent="0.25">
      <c r="B175" s="418"/>
    </row>
    <row r="176" spans="2:2" x14ac:dyDescent="0.25">
      <c r="B176" s="418"/>
    </row>
    <row r="177" spans="2:2" x14ac:dyDescent="0.25">
      <c r="B177" s="418"/>
    </row>
    <row r="178" spans="2:2" x14ac:dyDescent="0.25">
      <c r="B178" s="418"/>
    </row>
    <row r="179" spans="2:2" x14ac:dyDescent="0.25">
      <c r="B179" s="418"/>
    </row>
    <row r="180" spans="2:2" x14ac:dyDescent="0.25">
      <c r="B180" s="418"/>
    </row>
    <row r="181" spans="2:2" x14ac:dyDescent="0.25">
      <c r="B181" s="418"/>
    </row>
    <row r="182" spans="2:2" x14ac:dyDescent="0.25">
      <c r="B182" s="418"/>
    </row>
    <row r="183" spans="2:2" x14ac:dyDescent="0.25">
      <c r="B183" s="418"/>
    </row>
    <row r="184" spans="2:2" x14ac:dyDescent="0.25">
      <c r="B184" s="418"/>
    </row>
    <row r="185" spans="2:2" x14ac:dyDescent="0.25">
      <c r="B185" s="418"/>
    </row>
    <row r="186" spans="2:2" x14ac:dyDescent="0.25">
      <c r="B186" s="418"/>
    </row>
    <row r="187" spans="2:2" x14ac:dyDescent="0.25">
      <c r="B187" s="418"/>
    </row>
    <row r="188" spans="2:2" x14ac:dyDescent="0.25">
      <c r="B188" s="418"/>
    </row>
    <row r="189" spans="2:2" x14ac:dyDescent="0.25">
      <c r="B189" s="418"/>
    </row>
    <row r="190" spans="2:2" x14ac:dyDescent="0.25">
      <c r="B190" s="418"/>
    </row>
    <row r="191" spans="2:2" x14ac:dyDescent="0.25">
      <c r="B191" s="418"/>
    </row>
    <row r="192" spans="2:2" x14ac:dyDescent="0.25">
      <c r="B192" s="418"/>
    </row>
    <row r="193" spans="2:2" x14ac:dyDescent="0.25">
      <c r="B193" s="418"/>
    </row>
    <row r="194" spans="2:2" x14ac:dyDescent="0.25">
      <c r="B194" s="418"/>
    </row>
    <row r="195" spans="2:2" x14ac:dyDescent="0.25">
      <c r="B195" s="418"/>
    </row>
    <row r="196" spans="2:2" x14ac:dyDescent="0.25">
      <c r="B196" s="418"/>
    </row>
    <row r="197" spans="2:2" x14ac:dyDescent="0.25">
      <c r="B197" s="418"/>
    </row>
    <row r="198" spans="2:2" x14ac:dyDescent="0.25">
      <c r="B198" s="418"/>
    </row>
    <row r="199" spans="2:2" x14ac:dyDescent="0.25">
      <c r="B199" s="418"/>
    </row>
    <row r="200" spans="2:2" x14ac:dyDescent="0.25">
      <c r="B200" s="418"/>
    </row>
    <row r="201" spans="2:2" x14ac:dyDescent="0.25">
      <c r="B201" s="418"/>
    </row>
    <row r="202" spans="2:2" x14ac:dyDescent="0.25">
      <c r="B202" s="418"/>
    </row>
    <row r="203" spans="2:2" x14ac:dyDescent="0.25">
      <c r="B203" s="418"/>
    </row>
    <row r="204" spans="2:2" x14ac:dyDescent="0.25">
      <c r="B204" s="418"/>
    </row>
    <row r="205" spans="2:2" x14ac:dyDescent="0.25">
      <c r="B205" s="418"/>
    </row>
    <row r="206" spans="2:2" x14ac:dyDescent="0.25">
      <c r="B206" s="418"/>
    </row>
    <row r="207" spans="2:2" x14ac:dyDescent="0.25">
      <c r="B207" s="418"/>
    </row>
    <row r="208" spans="2:2" x14ac:dyDescent="0.25">
      <c r="B208" s="418"/>
    </row>
    <row r="209" spans="2:2" x14ac:dyDescent="0.25">
      <c r="B209" s="418"/>
    </row>
    <row r="210" spans="2:2" x14ac:dyDescent="0.25">
      <c r="B210" s="418"/>
    </row>
    <row r="211" spans="2:2" x14ac:dyDescent="0.25">
      <c r="B211" s="418"/>
    </row>
    <row r="212" spans="2:2" x14ac:dyDescent="0.25">
      <c r="B212" s="418"/>
    </row>
    <row r="213" spans="2:2" x14ac:dyDescent="0.25">
      <c r="B213" s="418"/>
    </row>
    <row r="214" spans="2:2" x14ac:dyDescent="0.25">
      <c r="B214" s="418"/>
    </row>
    <row r="215" spans="2:2" x14ac:dyDescent="0.25">
      <c r="B215" s="418"/>
    </row>
    <row r="216" spans="2:2" x14ac:dyDescent="0.25">
      <c r="B216" s="418"/>
    </row>
    <row r="217" spans="2:2" x14ac:dyDescent="0.25">
      <c r="B217" s="418"/>
    </row>
    <row r="218" spans="2:2" x14ac:dyDescent="0.25">
      <c r="B218" s="418"/>
    </row>
    <row r="219" spans="2:2" x14ac:dyDescent="0.25">
      <c r="B219" s="418"/>
    </row>
    <row r="220" spans="2:2" x14ac:dyDescent="0.25">
      <c r="B220" s="418"/>
    </row>
    <row r="221" spans="2:2" x14ac:dyDescent="0.25">
      <c r="B221" s="418"/>
    </row>
    <row r="222" spans="2:2" x14ac:dyDescent="0.25">
      <c r="B222" s="418"/>
    </row>
    <row r="223" spans="2:2" x14ac:dyDescent="0.25">
      <c r="B223" s="418"/>
    </row>
    <row r="224" spans="2:2" x14ac:dyDescent="0.25">
      <c r="B224" s="418"/>
    </row>
    <row r="225" spans="2:2" x14ac:dyDescent="0.25">
      <c r="B225" s="418"/>
    </row>
    <row r="226" spans="2:2" x14ac:dyDescent="0.25">
      <c r="B226" s="418"/>
    </row>
    <row r="227" spans="2:2" x14ac:dyDescent="0.25">
      <c r="B227" s="418"/>
    </row>
    <row r="228" spans="2:2" x14ac:dyDescent="0.25">
      <c r="B228" s="418"/>
    </row>
    <row r="229" spans="2:2" x14ac:dyDescent="0.25">
      <c r="B229" s="418"/>
    </row>
    <row r="230" spans="2:2" x14ac:dyDescent="0.25">
      <c r="B230" s="418"/>
    </row>
    <row r="231" spans="2:2" x14ac:dyDescent="0.25">
      <c r="B231" s="418"/>
    </row>
    <row r="232" spans="2:2" x14ac:dyDescent="0.25">
      <c r="B232" s="418"/>
    </row>
    <row r="233" spans="2:2" x14ac:dyDescent="0.25">
      <c r="B233" s="418"/>
    </row>
    <row r="234" spans="2:2" x14ac:dyDescent="0.25">
      <c r="B234" s="418"/>
    </row>
    <row r="235" spans="2:2" x14ac:dyDescent="0.25">
      <c r="B235" s="418"/>
    </row>
    <row r="236" spans="2:2" x14ac:dyDescent="0.25">
      <c r="B236" s="418"/>
    </row>
    <row r="237" spans="2:2" x14ac:dyDescent="0.25">
      <c r="B237" s="418"/>
    </row>
    <row r="238" spans="2:2" x14ac:dyDescent="0.25">
      <c r="B238" s="418"/>
    </row>
    <row r="239" spans="2:2" x14ac:dyDescent="0.25">
      <c r="B239" s="418"/>
    </row>
    <row r="240" spans="2:2" x14ac:dyDescent="0.25">
      <c r="B240" s="418"/>
    </row>
    <row r="241" spans="2:2" x14ac:dyDescent="0.25">
      <c r="B241" s="418"/>
    </row>
    <row r="242" spans="2:2" x14ac:dyDescent="0.25">
      <c r="B242" s="418"/>
    </row>
    <row r="243" spans="2:2" x14ac:dyDescent="0.25">
      <c r="B243" s="418"/>
    </row>
    <row r="244" spans="2:2" x14ac:dyDescent="0.25">
      <c r="B244" s="418"/>
    </row>
    <row r="245" spans="2:2" x14ac:dyDescent="0.25">
      <c r="B245" s="418"/>
    </row>
    <row r="246" spans="2:2" x14ac:dyDescent="0.25">
      <c r="B246" s="418"/>
    </row>
    <row r="247" spans="2:2" x14ac:dyDescent="0.25">
      <c r="B247" s="418"/>
    </row>
    <row r="248" spans="2:2" x14ac:dyDescent="0.25">
      <c r="B248" s="418"/>
    </row>
  </sheetData>
  <mergeCells count="3">
    <mergeCell ref="C10:F10"/>
    <mergeCell ref="A11:F11"/>
    <mergeCell ref="C2:F9"/>
  </mergeCells>
  <pageMargins left="0.31496062992125984" right="0.11811023622047245" top="0.15748031496062992" bottom="0.15748031496062992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7"/>
  <sheetViews>
    <sheetView workbookViewId="0">
      <selection activeCell="F3" sqref="F3:H3"/>
    </sheetView>
  </sheetViews>
  <sheetFormatPr defaultRowHeight="12.75" x14ac:dyDescent="0.2"/>
  <cols>
    <col min="1" max="1" width="67.42578125" style="240" customWidth="1"/>
    <col min="2" max="2" width="5.85546875" style="240" customWidth="1"/>
    <col min="3" max="3" width="3.7109375" style="240" customWidth="1"/>
    <col min="4" max="4" width="13" style="240" customWidth="1"/>
    <col min="5" max="5" width="5.42578125" style="240" customWidth="1"/>
    <col min="6" max="6" width="12.7109375" style="240" customWidth="1"/>
    <col min="7" max="7" width="11.85546875" style="240" customWidth="1"/>
    <col min="8" max="8" width="11.28515625" style="240" customWidth="1"/>
    <col min="9" max="9" width="9.140625" style="240"/>
    <col min="10" max="10" width="12.28515625" style="240" customWidth="1"/>
    <col min="11" max="11" width="9.7109375" style="240" bestFit="1" customWidth="1"/>
    <col min="12" max="254" width="9.140625" style="240"/>
    <col min="255" max="255" width="65.7109375" style="240" customWidth="1"/>
    <col min="256" max="256" width="4.85546875" style="240" customWidth="1"/>
    <col min="257" max="258" width="3.7109375" style="240" customWidth="1"/>
    <col min="259" max="259" width="11.42578125" style="240" customWidth="1"/>
    <col min="260" max="260" width="3.7109375" style="240" customWidth="1"/>
    <col min="261" max="261" width="11.5703125" style="240" customWidth="1"/>
    <col min="262" max="510" width="9.140625" style="240"/>
    <col min="511" max="511" width="65.7109375" style="240" customWidth="1"/>
    <col min="512" max="512" width="4.85546875" style="240" customWidth="1"/>
    <col min="513" max="514" width="3.7109375" style="240" customWidth="1"/>
    <col min="515" max="515" width="11.42578125" style="240" customWidth="1"/>
    <col min="516" max="516" width="3.7109375" style="240" customWidth="1"/>
    <col min="517" max="517" width="11.5703125" style="240" customWidth="1"/>
    <col min="518" max="766" width="9.140625" style="240"/>
    <col min="767" max="767" width="65.7109375" style="240" customWidth="1"/>
    <col min="768" max="768" width="4.85546875" style="240" customWidth="1"/>
    <col min="769" max="770" width="3.7109375" style="240" customWidth="1"/>
    <col min="771" max="771" width="11.42578125" style="240" customWidth="1"/>
    <col min="772" max="772" width="3.7109375" style="240" customWidth="1"/>
    <col min="773" max="773" width="11.5703125" style="240" customWidth="1"/>
    <col min="774" max="1022" width="9.140625" style="240"/>
    <col min="1023" max="1023" width="65.7109375" style="240" customWidth="1"/>
    <col min="1024" max="1024" width="4.85546875" style="240" customWidth="1"/>
    <col min="1025" max="1026" width="3.7109375" style="240" customWidth="1"/>
    <col min="1027" max="1027" width="11.42578125" style="240" customWidth="1"/>
    <col min="1028" max="1028" width="3.7109375" style="240" customWidth="1"/>
    <col min="1029" max="1029" width="11.5703125" style="240" customWidth="1"/>
    <col min="1030" max="1278" width="9.140625" style="240"/>
    <col min="1279" max="1279" width="65.7109375" style="240" customWidth="1"/>
    <col min="1280" max="1280" width="4.85546875" style="240" customWidth="1"/>
    <col min="1281" max="1282" width="3.7109375" style="240" customWidth="1"/>
    <col min="1283" max="1283" width="11.42578125" style="240" customWidth="1"/>
    <col min="1284" max="1284" width="3.7109375" style="240" customWidth="1"/>
    <col min="1285" max="1285" width="11.5703125" style="240" customWidth="1"/>
    <col min="1286" max="1534" width="9.140625" style="240"/>
    <col min="1535" max="1535" width="65.7109375" style="240" customWidth="1"/>
    <col min="1536" max="1536" width="4.85546875" style="240" customWidth="1"/>
    <col min="1537" max="1538" width="3.7109375" style="240" customWidth="1"/>
    <col min="1539" max="1539" width="11.42578125" style="240" customWidth="1"/>
    <col min="1540" max="1540" width="3.7109375" style="240" customWidth="1"/>
    <col min="1541" max="1541" width="11.5703125" style="240" customWidth="1"/>
    <col min="1542" max="1790" width="9.140625" style="240"/>
    <col min="1791" max="1791" width="65.7109375" style="240" customWidth="1"/>
    <col min="1792" max="1792" width="4.85546875" style="240" customWidth="1"/>
    <col min="1793" max="1794" width="3.7109375" style="240" customWidth="1"/>
    <col min="1795" max="1795" width="11.42578125" style="240" customWidth="1"/>
    <col min="1796" max="1796" width="3.7109375" style="240" customWidth="1"/>
    <col min="1797" max="1797" width="11.5703125" style="240" customWidth="1"/>
    <col min="1798" max="2046" width="9.140625" style="240"/>
    <col min="2047" max="2047" width="65.7109375" style="240" customWidth="1"/>
    <col min="2048" max="2048" width="4.85546875" style="240" customWidth="1"/>
    <col min="2049" max="2050" width="3.7109375" style="240" customWidth="1"/>
    <col min="2051" max="2051" width="11.42578125" style="240" customWidth="1"/>
    <col min="2052" max="2052" width="3.7109375" style="240" customWidth="1"/>
    <col min="2053" max="2053" width="11.5703125" style="240" customWidth="1"/>
    <col min="2054" max="2302" width="9.140625" style="240"/>
    <col min="2303" max="2303" width="65.7109375" style="240" customWidth="1"/>
    <col min="2304" max="2304" width="4.85546875" style="240" customWidth="1"/>
    <col min="2305" max="2306" width="3.7109375" style="240" customWidth="1"/>
    <col min="2307" max="2307" width="11.42578125" style="240" customWidth="1"/>
    <col min="2308" max="2308" width="3.7109375" style="240" customWidth="1"/>
    <col min="2309" max="2309" width="11.5703125" style="240" customWidth="1"/>
    <col min="2310" max="2558" width="9.140625" style="240"/>
    <col min="2559" max="2559" width="65.7109375" style="240" customWidth="1"/>
    <col min="2560" max="2560" width="4.85546875" style="240" customWidth="1"/>
    <col min="2561" max="2562" width="3.7109375" style="240" customWidth="1"/>
    <col min="2563" max="2563" width="11.42578125" style="240" customWidth="1"/>
    <col min="2564" max="2564" width="3.7109375" style="240" customWidth="1"/>
    <col min="2565" max="2565" width="11.5703125" style="240" customWidth="1"/>
    <col min="2566" max="2814" width="9.140625" style="240"/>
    <col min="2815" max="2815" width="65.7109375" style="240" customWidth="1"/>
    <col min="2816" max="2816" width="4.85546875" style="240" customWidth="1"/>
    <col min="2817" max="2818" width="3.7109375" style="240" customWidth="1"/>
    <col min="2819" max="2819" width="11.42578125" style="240" customWidth="1"/>
    <col min="2820" max="2820" width="3.7109375" style="240" customWidth="1"/>
    <col min="2821" max="2821" width="11.5703125" style="240" customWidth="1"/>
    <col min="2822" max="3070" width="9.140625" style="240"/>
    <col min="3071" max="3071" width="65.7109375" style="240" customWidth="1"/>
    <col min="3072" max="3072" width="4.85546875" style="240" customWidth="1"/>
    <col min="3073" max="3074" width="3.7109375" style="240" customWidth="1"/>
    <col min="3075" max="3075" width="11.42578125" style="240" customWidth="1"/>
    <col min="3076" max="3076" width="3.7109375" style="240" customWidth="1"/>
    <col min="3077" max="3077" width="11.5703125" style="240" customWidth="1"/>
    <col min="3078" max="3326" width="9.140625" style="240"/>
    <col min="3327" max="3327" width="65.7109375" style="240" customWidth="1"/>
    <col min="3328" max="3328" width="4.85546875" style="240" customWidth="1"/>
    <col min="3329" max="3330" width="3.7109375" style="240" customWidth="1"/>
    <col min="3331" max="3331" width="11.42578125" style="240" customWidth="1"/>
    <col min="3332" max="3332" width="3.7109375" style="240" customWidth="1"/>
    <col min="3333" max="3333" width="11.5703125" style="240" customWidth="1"/>
    <col min="3334" max="3582" width="9.140625" style="240"/>
    <col min="3583" max="3583" width="65.7109375" style="240" customWidth="1"/>
    <col min="3584" max="3584" width="4.85546875" style="240" customWidth="1"/>
    <col min="3585" max="3586" width="3.7109375" style="240" customWidth="1"/>
    <col min="3587" max="3587" width="11.42578125" style="240" customWidth="1"/>
    <col min="3588" max="3588" width="3.7109375" style="240" customWidth="1"/>
    <col min="3589" max="3589" width="11.5703125" style="240" customWidth="1"/>
    <col min="3590" max="3838" width="9.140625" style="240"/>
    <col min="3839" max="3839" width="65.7109375" style="240" customWidth="1"/>
    <col min="3840" max="3840" width="4.85546875" style="240" customWidth="1"/>
    <col min="3841" max="3842" width="3.7109375" style="240" customWidth="1"/>
    <col min="3843" max="3843" width="11.42578125" style="240" customWidth="1"/>
    <col min="3844" max="3844" width="3.7109375" style="240" customWidth="1"/>
    <col min="3845" max="3845" width="11.5703125" style="240" customWidth="1"/>
    <col min="3846" max="4094" width="9.140625" style="240"/>
    <col min="4095" max="4095" width="65.7109375" style="240" customWidth="1"/>
    <col min="4096" max="4096" width="4.85546875" style="240" customWidth="1"/>
    <col min="4097" max="4098" width="3.7109375" style="240" customWidth="1"/>
    <col min="4099" max="4099" width="11.42578125" style="240" customWidth="1"/>
    <col min="4100" max="4100" width="3.7109375" style="240" customWidth="1"/>
    <col min="4101" max="4101" width="11.5703125" style="240" customWidth="1"/>
    <col min="4102" max="4350" width="9.140625" style="240"/>
    <col min="4351" max="4351" width="65.7109375" style="240" customWidth="1"/>
    <col min="4352" max="4352" width="4.85546875" style="240" customWidth="1"/>
    <col min="4353" max="4354" width="3.7109375" style="240" customWidth="1"/>
    <col min="4355" max="4355" width="11.42578125" style="240" customWidth="1"/>
    <col min="4356" max="4356" width="3.7109375" style="240" customWidth="1"/>
    <col min="4357" max="4357" width="11.5703125" style="240" customWidth="1"/>
    <col min="4358" max="4606" width="9.140625" style="240"/>
    <col min="4607" max="4607" width="65.7109375" style="240" customWidth="1"/>
    <col min="4608" max="4608" width="4.85546875" style="240" customWidth="1"/>
    <col min="4609" max="4610" width="3.7109375" style="240" customWidth="1"/>
    <col min="4611" max="4611" width="11.42578125" style="240" customWidth="1"/>
    <col min="4612" max="4612" width="3.7109375" style="240" customWidth="1"/>
    <col min="4613" max="4613" width="11.5703125" style="240" customWidth="1"/>
    <col min="4614" max="4862" width="9.140625" style="240"/>
    <col min="4863" max="4863" width="65.7109375" style="240" customWidth="1"/>
    <col min="4864" max="4864" width="4.85546875" style="240" customWidth="1"/>
    <col min="4865" max="4866" width="3.7109375" style="240" customWidth="1"/>
    <col min="4867" max="4867" width="11.42578125" style="240" customWidth="1"/>
    <col min="4868" max="4868" width="3.7109375" style="240" customWidth="1"/>
    <col min="4869" max="4869" width="11.5703125" style="240" customWidth="1"/>
    <col min="4870" max="5118" width="9.140625" style="240"/>
    <col min="5119" max="5119" width="65.7109375" style="240" customWidth="1"/>
    <col min="5120" max="5120" width="4.85546875" style="240" customWidth="1"/>
    <col min="5121" max="5122" width="3.7109375" style="240" customWidth="1"/>
    <col min="5123" max="5123" width="11.42578125" style="240" customWidth="1"/>
    <col min="5124" max="5124" width="3.7109375" style="240" customWidth="1"/>
    <col min="5125" max="5125" width="11.5703125" style="240" customWidth="1"/>
    <col min="5126" max="5374" width="9.140625" style="240"/>
    <col min="5375" max="5375" width="65.7109375" style="240" customWidth="1"/>
    <col min="5376" max="5376" width="4.85546875" style="240" customWidth="1"/>
    <col min="5377" max="5378" width="3.7109375" style="240" customWidth="1"/>
    <col min="5379" max="5379" width="11.42578125" style="240" customWidth="1"/>
    <col min="5380" max="5380" width="3.7109375" style="240" customWidth="1"/>
    <col min="5381" max="5381" width="11.5703125" style="240" customWidth="1"/>
    <col min="5382" max="5630" width="9.140625" style="240"/>
    <col min="5631" max="5631" width="65.7109375" style="240" customWidth="1"/>
    <col min="5632" max="5632" width="4.85546875" style="240" customWidth="1"/>
    <col min="5633" max="5634" width="3.7109375" style="240" customWidth="1"/>
    <col min="5635" max="5635" width="11.42578125" style="240" customWidth="1"/>
    <col min="5636" max="5636" width="3.7109375" style="240" customWidth="1"/>
    <col min="5637" max="5637" width="11.5703125" style="240" customWidth="1"/>
    <col min="5638" max="5886" width="9.140625" style="240"/>
    <col min="5887" max="5887" width="65.7109375" style="240" customWidth="1"/>
    <col min="5888" max="5888" width="4.85546875" style="240" customWidth="1"/>
    <col min="5889" max="5890" width="3.7109375" style="240" customWidth="1"/>
    <col min="5891" max="5891" width="11.42578125" style="240" customWidth="1"/>
    <col min="5892" max="5892" width="3.7109375" style="240" customWidth="1"/>
    <col min="5893" max="5893" width="11.5703125" style="240" customWidth="1"/>
    <col min="5894" max="6142" width="9.140625" style="240"/>
    <col min="6143" max="6143" width="65.7109375" style="240" customWidth="1"/>
    <col min="6144" max="6144" width="4.85546875" style="240" customWidth="1"/>
    <col min="6145" max="6146" width="3.7109375" style="240" customWidth="1"/>
    <col min="6147" max="6147" width="11.42578125" style="240" customWidth="1"/>
    <col min="6148" max="6148" width="3.7109375" style="240" customWidth="1"/>
    <col min="6149" max="6149" width="11.5703125" style="240" customWidth="1"/>
    <col min="6150" max="6398" width="9.140625" style="240"/>
    <col min="6399" max="6399" width="65.7109375" style="240" customWidth="1"/>
    <col min="6400" max="6400" width="4.85546875" style="240" customWidth="1"/>
    <col min="6401" max="6402" width="3.7109375" style="240" customWidth="1"/>
    <col min="6403" max="6403" width="11.42578125" style="240" customWidth="1"/>
    <col min="6404" max="6404" width="3.7109375" style="240" customWidth="1"/>
    <col min="6405" max="6405" width="11.5703125" style="240" customWidth="1"/>
    <col min="6406" max="6654" width="9.140625" style="240"/>
    <col min="6655" max="6655" width="65.7109375" style="240" customWidth="1"/>
    <col min="6656" max="6656" width="4.85546875" style="240" customWidth="1"/>
    <col min="6657" max="6658" width="3.7109375" style="240" customWidth="1"/>
    <col min="6659" max="6659" width="11.42578125" style="240" customWidth="1"/>
    <col min="6660" max="6660" width="3.7109375" style="240" customWidth="1"/>
    <col min="6661" max="6661" width="11.5703125" style="240" customWidth="1"/>
    <col min="6662" max="6910" width="9.140625" style="240"/>
    <col min="6911" max="6911" width="65.7109375" style="240" customWidth="1"/>
    <col min="6912" max="6912" width="4.85546875" style="240" customWidth="1"/>
    <col min="6913" max="6914" width="3.7109375" style="240" customWidth="1"/>
    <col min="6915" max="6915" width="11.42578125" style="240" customWidth="1"/>
    <col min="6916" max="6916" width="3.7109375" style="240" customWidth="1"/>
    <col min="6917" max="6917" width="11.5703125" style="240" customWidth="1"/>
    <col min="6918" max="7166" width="9.140625" style="240"/>
    <col min="7167" max="7167" width="65.7109375" style="240" customWidth="1"/>
    <col min="7168" max="7168" width="4.85546875" style="240" customWidth="1"/>
    <col min="7169" max="7170" width="3.7109375" style="240" customWidth="1"/>
    <col min="7171" max="7171" width="11.42578125" style="240" customWidth="1"/>
    <col min="7172" max="7172" width="3.7109375" style="240" customWidth="1"/>
    <col min="7173" max="7173" width="11.5703125" style="240" customWidth="1"/>
    <col min="7174" max="7422" width="9.140625" style="240"/>
    <col min="7423" max="7423" width="65.7109375" style="240" customWidth="1"/>
    <col min="7424" max="7424" width="4.85546875" style="240" customWidth="1"/>
    <col min="7425" max="7426" width="3.7109375" style="240" customWidth="1"/>
    <col min="7427" max="7427" width="11.42578125" style="240" customWidth="1"/>
    <col min="7428" max="7428" width="3.7109375" style="240" customWidth="1"/>
    <col min="7429" max="7429" width="11.5703125" style="240" customWidth="1"/>
    <col min="7430" max="7678" width="9.140625" style="240"/>
    <col min="7679" max="7679" width="65.7109375" style="240" customWidth="1"/>
    <col min="7680" max="7680" width="4.85546875" style="240" customWidth="1"/>
    <col min="7681" max="7682" width="3.7109375" style="240" customWidth="1"/>
    <col min="7683" max="7683" width="11.42578125" style="240" customWidth="1"/>
    <col min="7684" max="7684" width="3.7109375" style="240" customWidth="1"/>
    <col min="7685" max="7685" width="11.5703125" style="240" customWidth="1"/>
    <col min="7686" max="7934" width="9.140625" style="240"/>
    <col min="7935" max="7935" width="65.7109375" style="240" customWidth="1"/>
    <col min="7936" max="7936" width="4.85546875" style="240" customWidth="1"/>
    <col min="7937" max="7938" width="3.7109375" style="240" customWidth="1"/>
    <col min="7939" max="7939" width="11.42578125" style="240" customWidth="1"/>
    <col min="7940" max="7940" width="3.7109375" style="240" customWidth="1"/>
    <col min="7941" max="7941" width="11.5703125" style="240" customWidth="1"/>
    <col min="7942" max="8190" width="9.140625" style="240"/>
    <col min="8191" max="8191" width="65.7109375" style="240" customWidth="1"/>
    <col min="8192" max="8192" width="4.85546875" style="240" customWidth="1"/>
    <col min="8193" max="8194" width="3.7109375" style="240" customWidth="1"/>
    <col min="8195" max="8195" width="11.42578125" style="240" customWidth="1"/>
    <col min="8196" max="8196" width="3.7109375" style="240" customWidth="1"/>
    <col min="8197" max="8197" width="11.5703125" style="240" customWidth="1"/>
    <col min="8198" max="8446" width="9.140625" style="240"/>
    <col min="8447" max="8447" width="65.7109375" style="240" customWidth="1"/>
    <col min="8448" max="8448" width="4.85546875" style="240" customWidth="1"/>
    <col min="8449" max="8450" width="3.7109375" style="240" customWidth="1"/>
    <col min="8451" max="8451" width="11.42578125" style="240" customWidth="1"/>
    <col min="8452" max="8452" width="3.7109375" style="240" customWidth="1"/>
    <col min="8453" max="8453" width="11.5703125" style="240" customWidth="1"/>
    <col min="8454" max="8702" width="9.140625" style="240"/>
    <col min="8703" max="8703" width="65.7109375" style="240" customWidth="1"/>
    <col min="8704" max="8704" width="4.85546875" style="240" customWidth="1"/>
    <col min="8705" max="8706" width="3.7109375" style="240" customWidth="1"/>
    <col min="8707" max="8707" width="11.42578125" style="240" customWidth="1"/>
    <col min="8708" max="8708" width="3.7109375" style="240" customWidth="1"/>
    <col min="8709" max="8709" width="11.5703125" style="240" customWidth="1"/>
    <col min="8710" max="8958" width="9.140625" style="240"/>
    <col min="8959" max="8959" width="65.7109375" style="240" customWidth="1"/>
    <col min="8960" max="8960" width="4.85546875" style="240" customWidth="1"/>
    <col min="8961" max="8962" width="3.7109375" style="240" customWidth="1"/>
    <col min="8963" max="8963" width="11.42578125" style="240" customWidth="1"/>
    <col min="8964" max="8964" width="3.7109375" style="240" customWidth="1"/>
    <col min="8965" max="8965" width="11.5703125" style="240" customWidth="1"/>
    <col min="8966" max="9214" width="9.140625" style="240"/>
    <col min="9215" max="9215" width="65.7109375" style="240" customWidth="1"/>
    <col min="9216" max="9216" width="4.85546875" style="240" customWidth="1"/>
    <col min="9217" max="9218" width="3.7109375" style="240" customWidth="1"/>
    <col min="9219" max="9219" width="11.42578125" style="240" customWidth="1"/>
    <col min="9220" max="9220" width="3.7109375" style="240" customWidth="1"/>
    <col min="9221" max="9221" width="11.5703125" style="240" customWidth="1"/>
    <col min="9222" max="9470" width="9.140625" style="240"/>
    <col min="9471" max="9471" width="65.7109375" style="240" customWidth="1"/>
    <col min="9472" max="9472" width="4.85546875" style="240" customWidth="1"/>
    <col min="9473" max="9474" width="3.7109375" style="240" customWidth="1"/>
    <col min="9475" max="9475" width="11.42578125" style="240" customWidth="1"/>
    <col min="9476" max="9476" width="3.7109375" style="240" customWidth="1"/>
    <col min="9477" max="9477" width="11.5703125" style="240" customWidth="1"/>
    <col min="9478" max="9726" width="9.140625" style="240"/>
    <col min="9727" max="9727" width="65.7109375" style="240" customWidth="1"/>
    <col min="9728" max="9728" width="4.85546875" style="240" customWidth="1"/>
    <col min="9729" max="9730" width="3.7109375" style="240" customWidth="1"/>
    <col min="9731" max="9731" width="11.42578125" style="240" customWidth="1"/>
    <col min="9732" max="9732" width="3.7109375" style="240" customWidth="1"/>
    <col min="9733" max="9733" width="11.5703125" style="240" customWidth="1"/>
    <col min="9734" max="9982" width="9.140625" style="240"/>
    <col min="9983" max="9983" width="65.7109375" style="240" customWidth="1"/>
    <col min="9984" max="9984" width="4.85546875" style="240" customWidth="1"/>
    <col min="9985" max="9986" width="3.7109375" style="240" customWidth="1"/>
    <col min="9987" max="9987" width="11.42578125" style="240" customWidth="1"/>
    <col min="9988" max="9988" width="3.7109375" style="240" customWidth="1"/>
    <col min="9989" max="9989" width="11.5703125" style="240" customWidth="1"/>
    <col min="9990" max="10238" width="9.140625" style="240"/>
    <col min="10239" max="10239" width="65.7109375" style="240" customWidth="1"/>
    <col min="10240" max="10240" width="4.85546875" style="240" customWidth="1"/>
    <col min="10241" max="10242" width="3.7109375" style="240" customWidth="1"/>
    <col min="10243" max="10243" width="11.42578125" style="240" customWidth="1"/>
    <col min="10244" max="10244" width="3.7109375" style="240" customWidth="1"/>
    <col min="10245" max="10245" width="11.5703125" style="240" customWidth="1"/>
    <col min="10246" max="10494" width="9.140625" style="240"/>
    <col min="10495" max="10495" width="65.7109375" style="240" customWidth="1"/>
    <col min="10496" max="10496" width="4.85546875" style="240" customWidth="1"/>
    <col min="10497" max="10498" width="3.7109375" style="240" customWidth="1"/>
    <col min="10499" max="10499" width="11.42578125" style="240" customWidth="1"/>
    <col min="10500" max="10500" width="3.7109375" style="240" customWidth="1"/>
    <col min="10501" max="10501" width="11.5703125" style="240" customWidth="1"/>
    <col min="10502" max="10750" width="9.140625" style="240"/>
    <col min="10751" max="10751" width="65.7109375" style="240" customWidth="1"/>
    <col min="10752" max="10752" width="4.85546875" style="240" customWidth="1"/>
    <col min="10753" max="10754" width="3.7109375" style="240" customWidth="1"/>
    <col min="10755" max="10755" width="11.42578125" style="240" customWidth="1"/>
    <col min="10756" max="10756" width="3.7109375" style="240" customWidth="1"/>
    <col min="10757" max="10757" width="11.5703125" style="240" customWidth="1"/>
    <col min="10758" max="11006" width="9.140625" style="240"/>
    <col min="11007" max="11007" width="65.7109375" style="240" customWidth="1"/>
    <col min="11008" max="11008" width="4.85546875" style="240" customWidth="1"/>
    <col min="11009" max="11010" width="3.7109375" style="240" customWidth="1"/>
    <col min="11011" max="11011" width="11.42578125" style="240" customWidth="1"/>
    <col min="11012" max="11012" width="3.7109375" style="240" customWidth="1"/>
    <col min="11013" max="11013" width="11.5703125" style="240" customWidth="1"/>
    <col min="11014" max="11262" width="9.140625" style="240"/>
    <col min="11263" max="11263" width="65.7109375" style="240" customWidth="1"/>
    <col min="11264" max="11264" width="4.85546875" style="240" customWidth="1"/>
    <col min="11265" max="11266" width="3.7109375" style="240" customWidth="1"/>
    <col min="11267" max="11267" width="11.42578125" style="240" customWidth="1"/>
    <col min="11268" max="11268" width="3.7109375" style="240" customWidth="1"/>
    <col min="11269" max="11269" width="11.5703125" style="240" customWidth="1"/>
    <col min="11270" max="11518" width="9.140625" style="240"/>
    <col min="11519" max="11519" width="65.7109375" style="240" customWidth="1"/>
    <col min="11520" max="11520" width="4.85546875" style="240" customWidth="1"/>
    <col min="11521" max="11522" width="3.7109375" style="240" customWidth="1"/>
    <col min="11523" max="11523" width="11.42578125" style="240" customWidth="1"/>
    <col min="11524" max="11524" width="3.7109375" style="240" customWidth="1"/>
    <col min="11525" max="11525" width="11.5703125" style="240" customWidth="1"/>
    <col min="11526" max="11774" width="9.140625" style="240"/>
    <col min="11775" max="11775" width="65.7109375" style="240" customWidth="1"/>
    <col min="11776" max="11776" width="4.85546875" style="240" customWidth="1"/>
    <col min="11777" max="11778" width="3.7109375" style="240" customWidth="1"/>
    <col min="11779" max="11779" width="11.42578125" style="240" customWidth="1"/>
    <col min="11780" max="11780" width="3.7109375" style="240" customWidth="1"/>
    <col min="11781" max="11781" width="11.5703125" style="240" customWidth="1"/>
    <col min="11782" max="12030" width="9.140625" style="240"/>
    <col min="12031" max="12031" width="65.7109375" style="240" customWidth="1"/>
    <col min="12032" max="12032" width="4.85546875" style="240" customWidth="1"/>
    <col min="12033" max="12034" width="3.7109375" style="240" customWidth="1"/>
    <col min="12035" max="12035" width="11.42578125" style="240" customWidth="1"/>
    <col min="12036" max="12036" width="3.7109375" style="240" customWidth="1"/>
    <col min="12037" max="12037" width="11.5703125" style="240" customWidth="1"/>
    <col min="12038" max="12286" width="9.140625" style="240"/>
    <col min="12287" max="12287" width="65.7109375" style="240" customWidth="1"/>
    <col min="12288" max="12288" width="4.85546875" style="240" customWidth="1"/>
    <col min="12289" max="12290" width="3.7109375" style="240" customWidth="1"/>
    <col min="12291" max="12291" width="11.42578125" style="240" customWidth="1"/>
    <col min="12292" max="12292" width="3.7109375" style="240" customWidth="1"/>
    <col min="12293" max="12293" width="11.5703125" style="240" customWidth="1"/>
    <col min="12294" max="12542" width="9.140625" style="240"/>
    <col min="12543" max="12543" width="65.7109375" style="240" customWidth="1"/>
    <col min="12544" max="12544" width="4.85546875" style="240" customWidth="1"/>
    <col min="12545" max="12546" width="3.7109375" style="240" customWidth="1"/>
    <col min="12547" max="12547" width="11.42578125" style="240" customWidth="1"/>
    <col min="12548" max="12548" width="3.7109375" style="240" customWidth="1"/>
    <col min="12549" max="12549" width="11.5703125" style="240" customWidth="1"/>
    <col min="12550" max="12798" width="9.140625" style="240"/>
    <col min="12799" max="12799" width="65.7109375" style="240" customWidth="1"/>
    <col min="12800" max="12800" width="4.85546875" style="240" customWidth="1"/>
    <col min="12801" max="12802" width="3.7109375" style="240" customWidth="1"/>
    <col min="12803" max="12803" width="11.42578125" style="240" customWidth="1"/>
    <col min="12804" max="12804" width="3.7109375" style="240" customWidth="1"/>
    <col min="12805" max="12805" width="11.5703125" style="240" customWidth="1"/>
    <col min="12806" max="13054" width="9.140625" style="240"/>
    <col min="13055" max="13055" width="65.7109375" style="240" customWidth="1"/>
    <col min="13056" max="13056" width="4.85546875" style="240" customWidth="1"/>
    <col min="13057" max="13058" width="3.7109375" style="240" customWidth="1"/>
    <col min="13059" max="13059" width="11.42578125" style="240" customWidth="1"/>
    <col min="13060" max="13060" width="3.7109375" style="240" customWidth="1"/>
    <col min="13061" max="13061" width="11.5703125" style="240" customWidth="1"/>
    <col min="13062" max="13310" width="9.140625" style="240"/>
    <col min="13311" max="13311" width="65.7109375" style="240" customWidth="1"/>
    <col min="13312" max="13312" width="4.85546875" style="240" customWidth="1"/>
    <col min="13313" max="13314" width="3.7109375" style="240" customWidth="1"/>
    <col min="13315" max="13315" width="11.42578125" style="240" customWidth="1"/>
    <col min="13316" max="13316" width="3.7109375" style="240" customWidth="1"/>
    <col min="13317" max="13317" width="11.5703125" style="240" customWidth="1"/>
    <col min="13318" max="13566" width="9.140625" style="240"/>
    <col min="13567" max="13567" width="65.7109375" style="240" customWidth="1"/>
    <col min="13568" max="13568" width="4.85546875" style="240" customWidth="1"/>
    <col min="13569" max="13570" width="3.7109375" style="240" customWidth="1"/>
    <col min="13571" max="13571" width="11.42578125" style="240" customWidth="1"/>
    <col min="13572" max="13572" width="3.7109375" style="240" customWidth="1"/>
    <col min="13573" max="13573" width="11.5703125" style="240" customWidth="1"/>
    <col min="13574" max="13822" width="9.140625" style="240"/>
    <col min="13823" max="13823" width="65.7109375" style="240" customWidth="1"/>
    <col min="13824" max="13824" width="4.85546875" style="240" customWidth="1"/>
    <col min="13825" max="13826" width="3.7109375" style="240" customWidth="1"/>
    <col min="13827" max="13827" width="11.42578125" style="240" customWidth="1"/>
    <col min="13828" max="13828" width="3.7109375" style="240" customWidth="1"/>
    <col min="13829" max="13829" width="11.5703125" style="240" customWidth="1"/>
    <col min="13830" max="14078" width="9.140625" style="240"/>
    <col min="14079" max="14079" width="65.7109375" style="240" customWidth="1"/>
    <col min="14080" max="14080" width="4.85546875" style="240" customWidth="1"/>
    <col min="14081" max="14082" width="3.7109375" style="240" customWidth="1"/>
    <col min="14083" max="14083" width="11.42578125" style="240" customWidth="1"/>
    <col min="14084" max="14084" width="3.7109375" style="240" customWidth="1"/>
    <col min="14085" max="14085" width="11.5703125" style="240" customWidth="1"/>
    <col min="14086" max="14334" width="9.140625" style="240"/>
    <col min="14335" max="14335" width="65.7109375" style="240" customWidth="1"/>
    <col min="14336" max="14336" width="4.85546875" style="240" customWidth="1"/>
    <col min="14337" max="14338" width="3.7109375" style="240" customWidth="1"/>
    <col min="14339" max="14339" width="11.42578125" style="240" customWidth="1"/>
    <col min="14340" max="14340" width="3.7109375" style="240" customWidth="1"/>
    <col min="14341" max="14341" width="11.5703125" style="240" customWidth="1"/>
    <col min="14342" max="14590" width="9.140625" style="240"/>
    <col min="14591" max="14591" width="65.7109375" style="240" customWidth="1"/>
    <col min="14592" max="14592" width="4.85546875" style="240" customWidth="1"/>
    <col min="14593" max="14594" width="3.7109375" style="240" customWidth="1"/>
    <col min="14595" max="14595" width="11.42578125" style="240" customWidth="1"/>
    <col min="14596" max="14596" width="3.7109375" style="240" customWidth="1"/>
    <col min="14597" max="14597" width="11.5703125" style="240" customWidth="1"/>
    <col min="14598" max="14846" width="9.140625" style="240"/>
    <col min="14847" max="14847" width="65.7109375" style="240" customWidth="1"/>
    <col min="14848" max="14848" width="4.85546875" style="240" customWidth="1"/>
    <col min="14849" max="14850" width="3.7109375" style="240" customWidth="1"/>
    <col min="14851" max="14851" width="11.42578125" style="240" customWidth="1"/>
    <col min="14852" max="14852" width="3.7109375" style="240" customWidth="1"/>
    <col min="14853" max="14853" width="11.5703125" style="240" customWidth="1"/>
    <col min="14854" max="15102" width="9.140625" style="240"/>
    <col min="15103" max="15103" width="65.7109375" style="240" customWidth="1"/>
    <col min="15104" max="15104" width="4.85546875" style="240" customWidth="1"/>
    <col min="15105" max="15106" width="3.7109375" style="240" customWidth="1"/>
    <col min="15107" max="15107" width="11.42578125" style="240" customWidth="1"/>
    <col min="15108" max="15108" width="3.7109375" style="240" customWidth="1"/>
    <col min="15109" max="15109" width="11.5703125" style="240" customWidth="1"/>
    <col min="15110" max="15358" width="9.140625" style="240"/>
    <col min="15359" max="15359" width="65.7109375" style="240" customWidth="1"/>
    <col min="15360" max="15360" width="4.85546875" style="240" customWidth="1"/>
    <col min="15361" max="15362" width="3.7109375" style="240" customWidth="1"/>
    <col min="15363" max="15363" width="11.42578125" style="240" customWidth="1"/>
    <col min="15364" max="15364" width="3.7109375" style="240" customWidth="1"/>
    <col min="15365" max="15365" width="11.5703125" style="240" customWidth="1"/>
    <col min="15366" max="15614" width="9.140625" style="240"/>
    <col min="15615" max="15615" width="65.7109375" style="240" customWidth="1"/>
    <col min="15616" max="15616" width="4.85546875" style="240" customWidth="1"/>
    <col min="15617" max="15618" width="3.7109375" style="240" customWidth="1"/>
    <col min="15619" max="15619" width="11.42578125" style="240" customWidth="1"/>
    <col min="15620" max="15620" width="3.7109375" style="240" customWidth="1"/>
    <col min="15621" max="15621" width="11.5703125" style="240" customWidth="1"/>
    <col min="15622" max="15870" width="9.140625" style="240"/>
    <col min="15871" max="15871" width="65.7109375" style="240" customWidth="1"/>
    <col min="15872" max="15872" width="4.85546875" style="240" customWidth="1"/>
    <col min="15873" max="15874" width="3.7109375" style="240" customWidth="1"/>
    <col min="15875" max="15875" width="11.42578125" style="240" customWidth="1"/>
    <col min="15876" max="15876" width="3.7109375" style="240" customWidth="1"/>
    <col min="15877" max="15877" width="11.5703125" style="240" customWidth="1"/>
    <col min="15878" max="16126" width="9.140625" style="240"/>
    <col min="16127" max="16127" width="65.7109375" style="240" customWidth="1"/>
    <col min="16128" max="16128" width="4.85546875" style="240" customWidth="1"/>
    <col min="16129" max="16130" width="3.7109375" style="240" customWidth="1"/>
    <col min="16131" max="16131" width="11.42578125" style="240" customWidth="1"/>
    <col min="16132" max="16132" width="3.7109375" style="240" customWidth="1"/>
    <col min="16133" max="16133" width="11.5703125" style="240" customWidth="1"/>
    <col min="16134" max="16384" width="9.140625" style="240"/>
  </cols>
  <sheetData>
    <row r="1" spans="1:16" x14ac:dyDescent="0.2">
      <c r="F1" s="187"/>
      <c r="G1" s="440" t="s">
        <v>295</v>
      </c>
      <c r="H1" s="440"/>
      <c r="I1" s="241"/>
      <c r="J1" s="8"/>
    </row>
    <row r="2" spans="1:16" ht="8.25" customHeight="1" x14ac:dyDescent="0.2">
      <c r="F2" s="187"/>
      <c r="G2" s="8"/>
      <c r="H2" s="8"/>
      <c r="I2" s="8"/>
      <c r="J2" s="8"/>
      <c r="K2" s="8"/>
    </row>
    <row r="3" spans="1:16" ht="75" customHeight="1" x14ac:dyDescent="0.2">
      <c r="D3" s="426"/>
      <c r="E3" s="426"/>
      <c r="F3" s="436" t="s">
        <v>873</v>
      </c>
      <c r="G3" s="436"/>
      <c r="H3" s="436"/>
      <c r="I3" s="185"/>
      <c r="J3" s="185"/>
      <c r="K3" s="185"/>
      <c r="L3" s="185"/>
      <c r="M3" s="185"/>
      <c r="N3" s="185"/>
      <c r="O3" s="185"/>
      <c r="P3" s="185"/>
    </row>
    <row r="4" spans="1:16" x14ac:dyDescent="0.2">
      <c r="D4" s="242"/>
      <c r="E4" s="242"/>
      <c r="F4" s="242"/>
    </row>
    <row r="5" spans="1:16" x14ac:dyDescent="0.2">
      <c r="A5" s="444" t="s">
        <v>621</v>
      </c>
      <c r="B5" s="444"/>
      <c r="C5" s="444"/>
      <c r="D5" s="444"/>
      <c r="E5" s="444"/>
      <c r="F5" s="444"/>
      <c r="G5" s="444"/>
      <c r="H5" s="444"/>
    </row>
    <row r="6" spans="1:16" ht="12.75" customHeight="1" x14ac:dyDescent="0.2">
      <c r="A6" s="444" t="s">
        <v>498</v>
      </c>
      <c r="B6" s="444"/>
      <c r="C6" s="444"/>
      <c r="D6" s="444"/>
      <c r="E6" s="444"/>
      <c r="F6" s="444"/>
      <c r="G6" s="444"/>
      <c r="H6" s="444"/>
    </row>
    <row r="7" spans="1:16" x14ac:dyDescent="0.2">
      <c r="A7" s="443"/>
      <c r="B7" s="443"/>
      <c r="C7" s="443"/>
      <c r="D7" s="443"/>
      <c r="E7" s="443"/>
      <c r="F7" s="443"/>
    </row>
    <row r="8" spans="1:16" x14ac:dyDescent="0.2">
      <c r="A8" s="243"/>
      <c r="B8" s="243"/>
      <c r="C8" s="243"/>
      <c r="D8" s="243"/>
      <c r="E8" s="243"/>
      <c r="F8" s="9" t="s">
        <v>0</v>
      </c>
    </row>
    <row r="9" spans="1:16" x14ac:dyDescent="0.2">
      <c r="A9" s="442" t="s">
        <v>1</v>
      </c>
      <c r="B9" s="442" t="s">
        <v>2</v>
      </c>
      <c r="C9" s="442" t="s">
        <v>3</v>
      </c>
      <c r="D9" s="442" t="s">
        <v>4</v>
      </c>
      <c r="E9" s="442" t="s">
        <v>5</v>
      </c>
      <c r="F9" s="442">
        <v>2020</v>
      </c>
      <c r="G9" s="441" t="s">
        <v>339</v>
      </c>
      <c r="H9" s="441" t="s">
        <v>338</v>
      </c>
    </row>
    <row r="10" spans="1:16" x14ac:dyDescent="0.2">
      <c r="A10" s="442"/>
      <c r="B10" s="442"/>
      <c r="C10" s="442"/>
      <c r="D10" s="442"/>
      <c r="E10" s="442"/>
      <c r="F10" s="442"/>
      <c r="G10" s="441"/>
      <c r="H10" s="441"/>
    </row>
    <row r="11" spans="1:16" x14ac:dyDescent="0.2">
      <c r="A11" s="10" t="s">
        <v>63</v>
      </c>
      <c r="B11" s="244"/>
      <c r="C11" s="244"/>
      <c r="D11" s="244"/>
      <c r="E11" s="244"/>
      <c r="F11" s="15">
        <f>+F12+F60+F67+F78+F102+F116+F119+F169+F192+F195+F245+F248+F255+F259</f>
        <v>708962.73349000001</v>
      </c>
      <c r="G11" s="15">
        <f>+G12+G60+G67+G78+G102+G116+G119+G169+G192+G195+G245+G248+G255+G259</f>
        <v>695633.88466999982</v>
      </c>
      <c r="H11" s="257">
        <f>+G11/F11*100</f>
        <v>98.119950712446268</v>
      </c>
      <c r="I11" s="245"/>
      <c r="J11" s="245"/>
      <c r="K11" s="245"/>
    </row>
    <row r="12" spans="1:16" x14ac:dyDescent="0.2">
      <c r="A12" s="10" t="s">
        <v>73</v>
      </c>
      <c r="B12" s="188" t="s">
        <v>23</v>
      </c>
      <c r="C12" s="20"/>
      <c r="D12" s="188"/>
      <c r="E12" s="188"/>
      <c r="F12" s="21">
        <f>+F13+F16+F29+F37+F39+F53+F50</f>
        <v>36924.404109999996</v>
      </c>
      <c r="G12" s="21">
        <f>+G13+G16+G29+G37+G39+G53+G50</f>
        <v>35355.832999999999</v>
      </c>
      <c r="H12" s="257">
        <f t="shared" ref="H12:H75" si="0">+G12/F12*100</f>
        <v>95.751939272121675</v>
      </c>
      <c r="I12" s="245"/>
      <c r="J12" s="245"/>
    </row>
    <row r="13" spans="1:16" ht="25.5" x14ac:dyDescent="0.2">
      <c r="A13" s="7" t="s">
        <v>54</v>
      </c>
      <c r="B13" s="1" t="s">
        <v>23</v>
      </c>
      <c r="C13" s="3" t="s">
        <v>12</v>
      </c>
      <c r="D13" s="1"/>
      <c r="E13" s="1"/>
      <c r="F13" s="18">
        <f>+F14</f>
        <v>1471.8009999999999</v>
      </c>
      <c r="G13" s="18">
        <f>+G14</f>
        <v>1443.2600000000002</v>
      </c>
      <c r="H13" s="257">
        <f t="shared" si="0"/>
        <v>98.060811210211185</v>
      </c>
      <c r="I13" s="245"/>
    </row>
    <row r="14" spans="1:16" x14ac:dyDescent="0.2">
      <c r="A14" s="7" t="s">
        <v>182</v>
      </c>
      <c r="B14" s="1" t="s">
        <v>23</v>
      </c>
      <c r="C14" s="3" t="s">
        <v>12</v>
      </c>
      <c r="D14" s="1" t="s">
        <v>153</v>
      </c>
      <c r="E14" s="1"/>
      <c r="F14" s="18">
        <f>+F15</f>
        <v>1471.8009999999999</v>
      </c>
      <c r="G14" s="18">
        <f>+G15</f>
        <v>1443.2600000000002</v>
      </c>
      <c r="H14" s="257">
        <f t="shared" si="0"/>
        <v>98.060811210211185</v>
      </c>
      <c r="I14" s="245"/>
    </row>
    <row r="15" spans="1:16" ht="38.25" x14ac:dyDescent="0.2">
      <c r="A15" s="7" t="s">
        <v>21</v>
      </c>
      <c r="B15" s="1" t="s">
        <v>23</v>
      </c>
      <c r="C15" s="3" t="s">
        <v>12</v>
      </c>
      <c r="D15" s="1" t="s">
        <v>153</v>
      </c>
      <c r="E15" s="1">
        <v>100</v>
      </c>
      <c r="F15" s="18">
        <f>+'[1]ведом 3'!G203</f>
        <v>1471.8009999999999</v>
      </c>
      <c r="G15" s="18">
        <f>+вед!H202</f>
        <v>1443.2600000000002</v>
      </c>
      <c r="H15" s="257">
        <f t="shared" si="0"/>
        <v>98.060811210211185</v>
      </c>
      <c r="I15" s="245"/>
    </row>
    <row r="16" spans="1:16" ht="38.25" x14ac:dyDescent="0.2">
      <c r="A16" s="7" t="s">
        <v>38</v>
      </c>
      <c r="B16" s="1" t="s">
        <v>23</v>
      </c>
      <c r="C16" s="1" t="s">
        <v>98</v>
      </c>
      <c r="D16" s="1" t="s">
        <v>64</v>
      </c>
      <c r="E16" s="1" t="s">
        <v>8</v>
      </c>
      <c r="F16" s="18">
        <f>+F17</f>
        <v>3569.2619999999997</v>
      </c>
      <c r="G16" s="18">
        <f>+G17</f>
        <v>3524.0477300000002</v>
      </c>
      <c r="H16" s="257">
        <f t="shared" si="0"/>
        <v>98.733231967840979</v>
      </c>
      <c r="I16" s="245"/>
    </row>
    <row r="17" spans="1:9" x14ac:dyDescent="0.2">
      <c r="A17" s="12" t="s">
        <v>37</v>
      </c>
      <c r="B17" s="1" t="s">
        <v>23</v>
      </c>
      <c r="C17" s="1" t="s">
        <v>98</v>
      </c>
      <c r="D17" s="1" t="s">
        <v>120</v>
      </c>
      <c r="E17" s="1" t="s">
        <v>8</v>
      </c>
      <c r="F17" s="18">
        <f>+F18+F23+F26</f>
        <v>3569.2619999999997</v>
      </c>
      <c r="G17" s="18">
        <f>+G18+G23+G26</f>
        <v>3524.0477300000002</v>
      </c>
      <c r="H17" s="257">
        <f t="shared" si="0"/>
        <v>98.733231967840979</v>
      </c>
      <c r="I17" s="245"/>
    </row>
    <row r="18" spans="1:9" x14ac:dyDescent="0.2">
      <c r="A18" s="10" t="s">
        <v>499</v>
      </c>
      <c r="B18" s="1" t="s">
        <v>23</v>
      </c>
      <c r="C18" s="1" t="s">
        <v>98</v>
      </c>
      <c r="D18" s="1" t="s">
        <v>70</v>
      </c>
      <c r="E18" s="1" t="s">
        <v>8</v>
      </c>
      <c r="F18" s="18">
        <f>+F19</f>
        <v>979.91200000000003</v>
      </c>
      <c r="G18" s="18">
        <f>+G19</f>
        <v>972.92072999999993</v>
      </c>
      <c r="H18" s="257">
        <f t="shared" si="0"/>
        <v>99.286541036337951</v>
      </c>
      <c r="I18" s="245"/>
    </row>
    <row r="19" spans="1:9" x14ac:dyDescent="0.2">
      <c r="A19" s="7" t="s">
        <v>109</v>
      </c>
      <c r="B19" s="1" t="s">
        <v>23</v>
      </c>
      <c r="C19" s="1" t="s">
        <v>98</v>
      </c>
      <c r="D19" s="1" t="s">
        <v>71</v>
      </c>
      <c r="E19" s="1" t="s">
        <v>8</v>
      </c>
      <c r="F19" s="18">
        <f>+F20+F21+F22</f>
        <v>979.91200000000003</v>
      </c>
      <c r="G19" s="18">
        <f>+G20+G21+G22</f>
        <v>972.92072999999993</v>
      </c>
      <c r="H19" s="257">
        <f t="shared" si="0"/>
        <v>99.286541036337951</v>
      </c>
      <c r="I19" s="245"/>
    </row>
    <row r="20" spans="1:9" ht="38.25" x14ac:dyDescent="0.2">
      <c r="A20" s="7" t="s">
        <v>21</v>
      </c>
      <c r="B20" s="1" t="s">
        <v>23</v>
      </c>
      <c r="C20" s="1" t="s">
        <v>98</v>
      </c>
      <c r="D20" s="1" t="s">
        <v>71</v>
      </c>
      <c r="E20" s="1">
        <v>100</v>
      </c>
      <c r="F20" s="18">
        <f>+'[1]ведом 3'!G59</f>
        <v>369.13</v>
      </c>
      <c r="G20" s="18">
        <f>+вед!H58</f>
        <v>362.13599999999997</v>
      </c>
      <c r="H20" s="257">
        <f t="shared" si="0"/>
        <v>98.105274564516549</v>
      </c>
      <c r="I20" s="245"/>
    </row>
    <row r="21" spans="1:9" ht="25.5" x14ac:dyDescent="0.2">
      <c r="A21" s="7" t="s">
        <v>66</v>
      </c>
      <c r="B21" s="1" t="s">
        <v>23</v>
      </c>
      <c r="C21" s="1" t="s">
        <v>98</v>
      </c>
      <c r="D21" s="1" t="s">
        <v>72</v>
      </c>
      <c r="E21" s="1" t="s">
        <v>16</v>
      </c>
      <c r="F21" s="18">
        <f>+'[1]ведом 3'!G60</f>
        <v>604.59</v>
      </c>
      <c r="G21" s="18">
        <f>+вед!H59</f>
        <v>604.59272999999996</v>
      </c>
      <c r="H21" s="257">
        <f t="shared" si="0"/>
        <v>100.00045154567556</v>
      </c>
      <c r="I21" s="245"/>
    </row>
    <row r="22" spans="1:9" x14ac:dyDescent="0.2">
      <c r="A22" s="7" t="s">
        <v>24</v>
      </c>
      <c r="B22" s="1" t="s">
        <v>23</v>
      </c>
      <c r="C22" s="1" t="s">
        <v>98</v>
      </c>
      <c r="D22" s="1" t="s">
        <v>72</v>
      </c>
      <c r="E22" s="1" t="s">
        <v>25</v>
      </c>
      <c r="F22" s="18">
        <f>+'[1]ведом 3'!G61</f>
        <v>6.1920000000000002</v>
      </c>
      <c r="G22" s="18">
        <f>+вед!H60</f>
        <v>6.1920000000000002</v>
      </c>
      <c r="H22" s="257">
        <f t="shared" si="0"/>
        <v>100</v>
      </c>
      <c r="I22" s="245"/>
    </row>
    <row r="23" spans="1:9" x14ac:dyDescent="0.2">
      <c r="A23" s="13" t="s">
        <v>181</v>
      </c>
      <c r="B23" s="12"/>
      <c r="C23" s="12"/>
      <c r="D23" s="12"/>
      <c r="E23" s="12"/>
      <c r="F23" s="14">
        <f>+F24</f>
        <v>1432.867</v>
      </c>
      <c r="G23" s="14">
        <f>+G24</f>
        <v>1402.8810000000001</v>
      </c>
      <c r="H23" s="257">
        <f t="shared" si="0"/>
        <v>97.907272621953055</v>
      </c>
      <c r="I23" s="245"/>
    </row>
    <row r="24" spans="1:9" x14ac:dyDescent="0.2">
      <c r="A24" s="12" t="s">
        <v>39</v>
      </c>
      <c r="B24" s="1" t="s">
        <v>23</v>
      </c>
      <c r="C24" s="1" t="s">
        <v>98</v>
      </c>
      <c r="D24" s="1" t="s">
        <v>121</v>
      </c>
      <c r="E24" s="1" t="s">
        <v>8</v>
      </c>
      <c r="F24" s="18">
        <f>+F25</f>
        <v>1432.867</v>
      </c>
      <c r="G24" s="18">
        <f>+G25</f>
        <v>1402.8810000000001</v>
      </c>
      <c r="H24" s="257">
        <f t="shared" si="0"/>
        <v>97.907272621953055</v>
      </c>
      <c r="I24" s="245"/>
    </row>
    <row r="25" spans="1:9" ht="38.25" x14ac:dyDescent="0.2">
      <c r="A25" s="7" t="s">
        <v>21</v>
      </c>
      <c r="B25" s="1" t="s">
        <v>23</v>
      </c>
      <c r="C25" s="1" t="s">
        <v>98</v>
      </c>
      <c r="D25" s="1" t="s">
        <v>121</v>
      </c>
      <c r="E25" s="1">
        <v>100</v>
      </c>
      <c r="F25" s="18">
        <f>+'[1]ведом 3'!G64</f>
        <v>1432.867</v>
      </c>
      <c r="G25" s="18">
        <f>+вед!H63</f>
        <v>1402.8810000000001</v>
      </c>
      <c r="H25" s="257">
        <f t="shared" si="0"/>
        <v>97.907272621953055</v>
      </c>
      <c r="I25" s="245"/>
    </row>
    <row r="26" spans="1:9" x14ac:dyDescent="0.2">
      <c r="A26" s="10" t="s">
        <v>110</v>
      </c>
      <c r="B26" s="1" t="s">
        <v>23</v>
      </c>
      <c r="C26" s="1" t="s">
        <v>98</v>
      </c>
      <c r="D26" s="1" t="s">
        <v>122</v>
      </c>
      <c r="E26" s="1" t="s">
        <v>8</v>
      </c>
      <c r="F26" s="18">
        <f>+F27</f>
        <v>1156.4829999999999</v>
      </c>
      <c r="G26" s="18">
        <f>+G27</f>
        <v>1148.2460000000001</v>
      </c>
      <c r="H26" s="257">
        <f t="shared" si="0"/>
        <v>99.287754337936676</v>
      </c>
      <c r="I26" s="245"/>
    </row>
    <row r="27" spans="1:9" x14ac:dyDescent="0.2">
      <c r="A27" s="7" t="s">
        <v>110</v>
      </c>
      <c r="B27" s="1" t="s">
        <v>23</v>
      </c>
      <c r="C27" s="1" t="s">
        <v>98</v>
      </c>
      <c r="D27" s="1" t="s">
        <v>123</v>
      </c>
      <c r="E27" s="1" t="s">
        <v>8</v>
      </c>
      <c r="F27" s="18">
        <f>+F28</f>
        <v>1156.4829999999999</v>
      </c>
      <c r="G27" s="18">
        <f>+G28</f>
        <v>1148.2460000000001</v>
      </c>
      <c r="H27" s="257">
        <f t="shared" si="0"/>
        <v>99.287754337936676</v>
      </c>
      <c r="I27" s="245"/>
    </row>
    <row r="28" spans="1:9" ht="38.25" x14ac:dyDescent="0.2">
      <c r="A28" s="7" t="s">
        <v>21</v>
      </c>
      <c r="B28" s="1" t="s">
        <v>23</v>
      </c>
      <c r="C28" s="1" t="s">
        <v>98</v>
      </c>
      <c r="D28" s="1" t="s">
        <v>123</v>
      </c>
      <c r="E28" s="1">
        <v>100</v>
      </c>
      <c r="F28" s="18">
        <f>+'[1]ведом 3'!G67</f>
        <v>1156.4829999999999</v>
      </c>
      <c r="G28" s="18">
        <f>+вед!H66</f>
        <v>1148.2460000000001</v>
      </c>
      <c r="H28" s="257">
        <f t="shared" si="0"/>
        <v>99.287754337936676</v>
      </c>
      <c r="I28" s="245"/>
    </row>
    <row r="29" spans="1:9" ht="38.25" x14ac:dyDescent="0.2">
      <c r="A29" s="10" t="s">
        <v>55</v>
      </c>
      <c r="B29" s="188" t="s">
        <v>23</v>
      </c>
      <c r="C29" s="188" t="s">
        <v>19</v>
      </c>
      <c r="D29" s="1" t="s">
        <v>64</v>
      </c>
      <c r="E29" s="1" t="s">
        <v>8</v>
      </c>
      <c r="F29" s="21">
        <f>+F30</f>
        <v>18136.089110000001</v>
      </c>
      <c r="G29" s="21">
        <f>+G30</f>
        <v>16862.217809999998</v>
      </c>
      <c r="H29" s="257">
        <f t="shared" si="0"/>
        <v>92.976041900358723</v>
      </c>
      <c r="I29" s="245"/>
    </row>
    <row r="30" spans="1:9" x14ac:dyDescent="0.2">
      <c r="A30" s="7" t="s">
        <v>500</v>
      </c>
      <c r="B30" s="1" t="s">
        <v>23</v>
      </c>
      <c r="C30" s="1" t="s">
        <v>19</v>
      </c>
      <c r="D30" s="1" t="s">
        <v>70</v>
      </c>
      <c r="E30" s="1" t="s">
        <v>8</v>
      </c>
      <c r="F30" s="18">
        <f>+F31</f>
        <v>18136.089110000001</v>
      </c>
      <c r="G30" s="18">
        <f>+G31</f>
        <v>16862.217809999998</v>
      </c>
      <c r="H30" s="257">
        <f t="shared" si="0"/>
        <v>92.976041900358723</v>
      </c>
      <c r="I30" s="245"/>
    </row>
    <row r="31" spans="1:9" x14ac:dyDescent="0.2">
      <c r="A31" s="7" t="s">
        <v>156</v>
      </c>
      <c r="B31" s="1" t="s">
        <v>23</v>
      </c>
      <c r="C31" s="1" t="s">
        <v>19</v>
      </c>
      <c r="D31" s="1" t="s">
        <v>155</v>
      </c>
      <c r="E31" s="1" t="s">
        <v>8</v>
      </c>
      <c r="F31" s="18">
        <f>+F32+F33</f>
        <v>18136.089110000001</v>
      </c>
      <c r="G31" s="18">
        <f>+G32+G33</f>
        <v>16862.217809999998</v>
      </c>
      <c r="H31" s="257">
        <f t="shared" si="0"/>
        <v>92.976041900358723</v>
      </c>
      <c r="I31" s="245"/>
    </row>
    <row r="32" spans="1:9" ht="38.25" x14ac:dyDescent="0.2">
      <c r="A32" s="7" t="s">
        <v>21</v>
      </c>
      <c r="B32" s="1" t="s">
        <v>23</v>
      </c>
      <c r="C32" s="1" t="s">
        <v>19</v>
      </c>
      <c r="D32" s="1" t="s">
        <v>71</v>
      </c>
      <c r="E32" s="1">
        <v>100</v>
      </c>
      <c r="F32" s="18">
        <f>+'[1]ведом 3'!G207</f>
        <v>15855.16611</v>
      </c>
      <c r="G32" s="18">
        <f>+вед!H206</f>
        <v>14581.318729999999</v>
      </c>
      <c r="H32" s="257">
        <f t="shared" si="0"/>
        <v>91.965726683894061</v>
      </c>
      <c r="I32" s="245"/>
    </row>
    <row r="33" spans="1:9" ht="25.5" x14ac:dyDescent="0.2">
      <c r="A33" s="7" t="s">
        <v>20</v>
      </c>
      <c r="B33" s="1" t="s">
        <v>23</v>
      </c>
      <c r="C33" s="1" t="s">
        <v>19</v>
      </c>
      <c r="D33" s="1" t="s">
        <v>72</v>
      </c>
      <c r="E33" s="1" t="s">
        <v>8</v>
      </c>
      <c r="F33" s="18">
        <f>+F34+F35+F36</f>
        <v>2280.9229999999998</v>
      </c>
      <c r="G33" s="18">
        <f>+G34+G35+G36</f>
        <v>2280.8990800000001</v>
      </c>
      <c r="H33" s="257">
        <f t="shared" si="0"/>
        <v>99.998951301731822</v>
      </c>
      <c r="I33" s="245"/>
    </row>
    <row r="34" spans="1:9" ht="38.25" x14ac:dyDescent="0.2">
      <c r="A34" s="7" t="s">
        <v>21</v>
      </c>
      <c r="B34" s="1" t="s">
        <v>23</v>
      </c>
      <c r="C34" s="1" t="s">
        <v>19</v>
      </c>
      <c r="D34" s="1" t="s">
        <v>72</v>
      </c>
      <c r="E34" s="1" t="s">
        <v>22</v>
      </c>
      <c r="F34" s="18">
        <f>+'[1]ведом 3'!G208</f>
        <v>0</v>
      </c>
      <c r="G34" s="18"/>
      <c r="H34" s="257" t="e">
        <f t="shared" si="0"/>
        <v>#DIV/0!</v>
      </c>
      <c r="I34" s="245"/>
    </row>
    <row r="35" spans="1:9" ht="25.5" x14ac:dyDescent="0.2">
      <c r="A35" s="7" t="s">
        <v>66</v>
      </c>
      <c r="B35" s="1" t="s">
        <v>23</v>
      </c>
      <c r="C35" s="1" t="s">
        <v>19</v>
      </c>
      <c r="D35" s="1" t="s">
        <v>72</v>
      </c>
      <c r="E35" s="1" t="s">
        <v>16</v>
      </c>
      <c r="F35" s="18">
        <f>+'[1]ведом 3'!G209</f>
        <v>1914.3209999999999</v>
      </c>
      <c r="G35" s="18">
        <f>+вед!H208</f>
        <v>1914.2972399999999</v>
      </c>
      <c r="H35" s="257">
        <f t="shared" si="0"/>
        <v>99.998758828848452</v>
      </c>
      <c r="I35" s="245"/>
    </row>
    <row r="36" spans="1:9" x14ac:dyDescent="0.2">
      <c r="A36" s="7" t="s">
        <v>24</v>
      </c>
      <c r="B36" s="1" t="s">
        <v>23</v>
      </c>
      <c r="C36" s="1" t="s">
        <v>19</v>
      </c>
      <c r="D36" s="1" t="s">
        <v>72</v>
      </c>
      <c r="E36" s="1" t="s">
        <v>25</v>
      </c>
      <c r="F36" s="18">
        <f>+'[1]ведом 3'!G210</f>
        <v>366.60199999999998</v>
      </c>
      <c r="G36" s="18">
        <f>+вед!H209</f>
        <v>366.60184000000004</v>
      </c>
      <c r="H36" s="257">
        <f t="shared" si="0"/>
        <v>99.999956355939162</v>
      </c>
      <c r="I36" s="245"/>
    </row>
    <row r="37" spans="1:9" x14ac:dyDescent="0.2">
      <c r="A37" s="246" t="s">
        <v>199</v>
      </c>
      <c r="B37" s="188" t="s">
        <v>23</v>
      </c>
      <c r="C37" s="188" t="s">
        <v>103</v>
      </c>
      <c r="D37" s="188"/>
      <c r="E37" s="188"/>
      <c r="F37" s="21">
        <f>+F38</f>
        <v>22.4</v>
      </c>
      <c r="G37" s="21">
        <f>+G38</f>
        <v>22.4</v>
      </c>
      <c r="H37" s="257">
        <f t="shared" si="0"/>
        <v>100</v>
      </c>
      <c r="I37" s="245"/>
    </row>
    <row r="38" spans="1:9" ht="25.5" x14ac:dyDescent="0.2">
      <c r="A38" s="19" t="s">
        <v>66</v>
      </c>
      <c r="B38" s="1" t="s">
        <v>23</v>
      </c>
      <c r="C38" s="1" t="s">
        <v>103</v>
      </c>
      <c r="D38" s="1" t="s">
        <v>72</v>
      </c>
      <c r="E38" s="1">
        <v>200</v>
      </c>
      <c r="F38" s="18">
        <f>+'[1]ведом 3'!G212</f>
        <v>22.4</v>
      </c>
      <c r="G38" s="18">
        <f>+вед!H211</f>
        <v>22.4</v>
      </c>
      <c r="H38" s="257">
        <f t="shared" si="0"/>
        <v>100</v>
      </c>
      <c r="I38" s="245"/>
    </row>
    <row r="39" spans="1:9" ht="25.5" x14ac:dyDescent="0.2">
      <c r="A39" s="10" t="s">
        <v>40</v>
      </c>
      <c r="B39" s="188" t="s">
        <v>23</v>
      </c>
      <c r="C39" s="188" t="s">
        <v>100</v>
      </c>
      <c r="D39" s="1" t="s">
        <v>64</v>
      </c>
      <c r="E39" s="1" t="s">
        <v>8</v>
      </c>
      <c r="F39" s="21">
        <f>+F40+F47</f>
        <v>12031.196</v>
      </c>
      <c r="G39" s="21">
        <f>+G40+G47</f>
        <v>11810.251460000001</v>
      </c>
      <c r="H39" s="257">
        <f t="shared" si="0"/>
        <v>98.163569606878667</v>
      </c>
      <c r="I39" s="245"/>
    </row>
    <row r="40" spans="1:9" ht="25.5" x14ac:dyDescent="0.2">
      <c r="A40" s="7" t="s">
        <v>40</v>
      </c>
      <c r="B40" s="1" t="s">
        <v>23</v>
      </c>
      <c r="C40" s="1" t="s">
        <v>100</v>
      </c>
      <c r="D40" s="1" t="s">
        <v>70</v>
      </c>
      <c r="E40" s="1" t="s">
        <v>8</v>
      </c>
      <c r="F40" s="18">
        <f>+F41+F44+F43</f>
        <v>11111.897999999999</v>
      </c>
      <c r="G40" s="18">
        <f>+G41+G44+G43</f>
        <v>10912.069460000001</v>
      </c>
      <c r="H40" s="257">
        <f t="shared" si="0"/>
        <v>98.201670497695375</v>
      </c>
      <c r="I40" s="245"/>
    </row>
    <row r="41" spans="1:9" x14ac:dyDescent="0.2">
      <c r="A41" s="7" t="s">
        <v>146</v>
      </c>
      <c r="B41" s="1" t="s">
        <v>23</v>
      </c>
      <c r="C41" s="1" t="s">
        <v>100</v>
      </c>
      <c r="D41" s="1" t="s">
        <v>71</v>
      </c>
      <c r="E41" s="1" t="s">
        <v>8</v>
      </c>
      <c r="F41" s="18">
        <f>+F42</f>
        <v>9821.6209999999992</v>
      </c>
      <c r="G41" s="18">
        <f>+G42</f>
        <v>9621.7950000000001</v>
      </c>
      <c r="H41" s="257">
        <f t="shared" si="0"/>
        <v>97.965447862425165</v>
      </c>
      <c r="I41" s="245"/>
    </row>
    <row r="42" spans="1:9" ht="33.75" x14ac:dyDescent="0.2">
      <c r="A42" s="247" t="s">
        <v>21</v>
      </c>
      <c r="B42" s="1" t="s">
        <v>23</v>
      </c>
      <c r="C42" s="1" t="s">
        <v>100</v>
      </c>
      <c r="D42" s="1" t="s">
        <v>71</v>
      </c>
      <c r="E42" s="1">
        <v>100</v>
      </c>
      <c r="F42" s="18">
        <f>+'[1]ведом 3'!G72+'[1]ведом 3'!G174</f>
        <v>9821.6209999999992</v>
      </c>
      <c r="G42" s="18">
        <f>+вед!H71+вед!H173</f>
        <v>9621.7950000000001</v>
      </c>
      <c r="H42" s="257">
        <f t="shared" si="0"/>
        <v>97.965447862425165</v>
      </c>
      <c r="I42" s="245"/>
    </row>
    <row r="43" spans="1:9" ht="38.25" x14ac:dyDescent="0.2">
      <c r="A43" s="206" t="s">
        <v>21</v>
      </c>
      <c r="B43" s="1" t="s">
        <v>23</v>
      </c>
      <c r="C43" s="1" t="s">
        <v>100</v>
      </c>
      <c r="D43" s="1" t="s">
        <v>453</v>
      </c>
      <c r="E43" s="1">
        <v>100</v>
      </c>
      <c r="F43" s="18">
        <f>+'[1]ведом 3'!G175</f>
        <v>33.700000000000003</v>
      </c>
      <c r="G43" s="18">
        <f>+вед!H174</f>
        <v>33.700000000000003</v>
      </c>
      <c r="H43" s="257">
        <f t="shared" si="0"/>
        <v>100</v>
      </c>
      <c r="I43" s="245"/>
    </row>
    <row r="44" spans="1:9" x14ac:dyDescent="0.2">
      <c r="A44" s="7" t="s">
        <v>146</v>
      </c>
      <c r="B44" s="1" t="s">
        <v>23</v>
      </c>
      <c r="C44" s="1" t="s">
        <v>100</v>
      </c>
      <c r="D44" s="1" t="s">
        <v>72</v>
      </c>
      <c r="E44" s="1" t="s">
        <v>8</v>
      </c>
      <c r="F44" s="18">
        <f>+F45+F46</f>
        <v>1256.577</v>
      </c>
      <c r="G44" s="18">
        <f>+G45+G46</f>
        <v>1256.5744599999998</v>
      </c>
      <c r="H44" s="257">
        <f t="shared" si="0"/>
        <v>99.999797863561071</v>
      </c>
      <c r="I44" s="245"/>
    </row>
    <row r="45" spans="1:9" ht="25.5" x14ac:dyDescent="0.2">
      <c r="A45" s="7" t="s">
        <v>66</v>
      </c>
      <c r="B45" s="1" t="s">
        <v>23</v>
      </c>
      <c r="C45" s="1" t="s">
        <v>100</v>
      </c>
      <c r="D45" s="1" t="s">
        <v>72</v>
      </c>
      <c r="E45" s="1" t="s">
        <v>16</v>
      </c>
      <c r="F45" s="18">
        <f>+'[1]ведом 3'!G73+'[1]ведом 3'!G176</f>
        <v>1249.748</v>
      </c>
      <c r="G45" s="18">
        <f>+вед!H72+вед!H175</f>
        <v>1249.7454599999999</v>
      </c>
      <c r="H45" s="257">
        <f t="shared" si="0"/>
        <v>99.999796759026609</v>
      </c>
      <c r="I45" s="245"/>
    </row>
    <row r="46" spans="1:9" x14ac:dyDescent="0.2">
      <c r="A46" s="7" t="s">
        <v>24</v>
      </c>
      <c r="B46" s="1" t="s">
        <v>23</v>
      </c>
      <c r="C46" s="1" t="s">
        <v>100</v>
      </c>
      <c r="D46" s="1" t="s">
        <v>72</v>
      </c>
      <c r="E46" s="1" t="s">
        <v>25</v>
      </c>
      <c r="F46" s="18">
        <f>+'[1]ведом 3'!G177</f>
        <v>6.8289999999999997</v>
      </c>
      <c r="G46" s="18">
        <f>+вед!H176</f>
        <v>6.8289999999999997</v>
      </c>
      <c r="H46" s="257">
        <f t="shared" si="0"/>
        <v>100</v>
      </c>
      <c r="I46" s="245"/>
    </row>
    <row r="47" spans="1:9" x14ac:dyDescent="0.2">
      <c r="A47" s="7" t="s">
        <v>501</v>
      </c>
      <c r="B47" s="1" t="s">
        <v>23</v>
      </c>
      <c r="C47" s="1" t="s">
        <v>100</v>
      </c>
      <c r="D47" s="1" t="s">
        <v>125</v>
      </c>
      <c r="E47" s="1" t="s">
        <v>8</v>
      </c>
      <c r="F47" s="18">
        <f>+F48</f>
        <v>919.298</v>
      </c>
      <c r="G47" s="18">
        <f>+G48</f>
        <v>898.18200000000002</v>
      </c>
      <c r="H47" s="257">
        <f t="shared" si="0"/>
        <v>97.703029920656846</v>
      </c>
      <c r="I47" s="245"/>
    </row>
    <row r="48" spans="1:9" x14ac:dyDescent="0.2">
      <c r="A48" s="7" t="s">
        <v>113</v>
      </c>
      <c r="B48" s="1" t="s">
        <v>23</v>
      </c>
      <c r="C48" s="1" t="s">
        <v>100</v>
      </c>
      <c r="D48" s="1" t="s">
        <v>124</v>
      </c>
      <c r="E48" s="1" t="s">
        <v>8</v>
      </c>
      <c r="F48" s="18">
        <f>+F49</f>
        <v>919.298</v>
      </c>
      <c r="G48" s="18">
        <f>+G49</f>
        <v>898.18200000000002</v>
      </c>
      <c r="H48" s="257">
        <f t="shared" si="0"/>
        <v>97.703029920656846</v>
      </c>
      <c r="I48" s="245"/>
    </row>
    <row r="49" spans="1:9" ht="38.25" x14ac:dyDescent="0.2">
      <c r="A49" s="7" t="s">
        <v>21</v>
      </c>
      <c r="B49" s="1" t="s">
        <v>23</v>
      </c>
      <c r="C49" s="1" t="s">
        <v>100</v>
      </c>
      <c r="D49" s="1" t="s">
        <v>124</v>
      </c>
      <c r="E49" s="1">
        <v>100</v>
      </c>
      <c r="F49" s="18">
        <f>+'[1]ведом 3'!G76</f>
        <v>919.298</v>
      </c>
      <c r="G49" s="18">
        <f>+вед!H75</f>
        <v>898.18200000000002</v>
      </c>
      <c r="H49" s="257">
        <f t="shared" si="0"/>
        <v>97.703029920656846</v>
      </c>
      <c r="I49" s="245"/>
    </row>
    <row r="50" spans="1:9" x14ac:dyDescent="0.2">
      <c r="A50" s="207" t="s">
        <v>459</v>
      </c>
      <c r="B50" s="1" t="s">
        <v>23</v>
      </c>
      <c r="C50" s="3" t="s">
        <v>10</v>
      </c>
      <c r="D50" s="1" t="s">
        <v>217</v>
      </c>
      <c r="E50" s="1"/>
      <c r="F50" s="18">
        <f>+F51</f>
        <v>1137.556</v>
      </c>
      <c r="G50" s="18">
        <f>+G51</f>
        <v>1137.556</v>
      </c>
      <c r="H50" s="257">
        <f t="shared" si="0"/>
        <v>100</v>
      </c>
      <c r="I50" s="245"/>
    </row>
    <row r="51" spans="1:9" x14ac:dyDescent="0.2">
      <c r="A51" s="207" t="s">
        <v>460</v>
      </c>
      <c r="B51" s="1" t="s">
        <v>23</v>
      </c>
      <c r="C51" s="3" t="s">
        <v>10</v>
      </c>
      <c r="D51" s="1" t="s">
        <v>217</v>
      </c>
      <c r="E51" s="1"/>
      <c r="F51" s="18">
        <f>+F52</f>
        <v>1137.556</v>
      </c>
      <c r="G51" s="18">
        <f>+G52</f>
        <v>1137.556</v>
      </c>
      <c r="H51" s="257">
        <f t="shared" si="0"/>
        <v>100</v>
      </c>
      <c r="I51" s="245"/>
    </row>
    <row r="52" spans="1:9" x14ac:dyDescent="0.2">
      <c r="A52" s="207" t="s">
        <v>461</v>
      </c>
      <c r="B52" s="1" t="s">
        <v>23</v>
      </c>
      <c r="C52" s="3" t="s">
        <v>10</v>
      </c>
      <c r="D52" s="1" t="s">
        <v>217</v>
      </c>
      <c r="E52" s="1">
        <v>800</v>
      </c>
      <c r="F52" s="18">
        <f>+'[1]ведом 3'!G215</f>
        <v>1137.556</v>
      </c>
      <c r="G52" s="18">
        <f>+вед!H214</f>
        <v>1137.556</v>
      </c>
      <c r="H52" s="257">
        <f t="shared" si="0"/>
        <v>100</v>
      </c>
      <c r="I52" s="245"/>
    </row>
    <row r="53" spans="1:9" x14ac:dyDescent="0.2">
      <c r="A53" s="7" t="s">
        <v>56</v>
      </c>
      <c r="B53" s="1" t="s">
        <v>23</v>
      </c>
      <c r="C53" s="1" t="s">
        <v>101</v>
      </c>
      <c r="D53" s="1"/>
      <c r="E53" s="1" t="s">
        <v>8</v>
      </c>
      <c r="F53" s="18">
        <f>+F54</f>
        <v>556.1</v>
      </c>
      <c r="G53" s="18">
        <f>+G54</f>
        <v>556.1</v>
      </c>
      <c r="H53" s="257">
        <f t="shared" si="0"/>
        <v>100</v>
      </c>
      <c r="I53" s="245"/>
    </row>
    <row r="54" spans="1:9" x14ac:dyDescent="0.2">
      <c r="A54" s="7" t="s">
        <v>56</v>
      </c>
      <c r="B54" s="1" t="s">
        <v>23</v>
      </c>
      <c r="C54" s="1" t="s">
        <v>101</v>
      </c>
      <c r="D54" s="1" t="s">
        <v>77</v>
      </c>
      <c r="E54" s="1" t="s">
        <v>8</v>
      </c>
      <c r="F54" s="18">
        <f>+F55+F57</f>
        <v>556.1</v>
      </c>
      <c r="G54" s="18">
        <f>+G55+G57</f>
        <v>556.1</v>
      </c>
      <c r="H54" s="257">
        <f t="shared" si="0"/>
        <v>100</v>
      </c>
      <c r="I54" s="245"/>
    </row>
    <row r="55" spans="1:9" ht="25.5" x14ac:dyDescent="0.2">
      <c r="A55" s="7" t="s">
        <v>79</v>
      </c>
      <c r="B55" s="1" t="s">
        <v>23</v>
      </c>
      <c r="C55" s="1">
        <v>13</v>
      </c>
      <c r="D55" s="1" t="s">
        <v>80</v>
      </c>
      <c r="E55" s="1"/>
      <c r="F55" s="18">
        <f>+F56</f>
        <v>1</v>
      </c>
      <c r="G55" s="18">
        <f>+G56</f>
        <v>1</v>
      </c>
      <c r="H55" s="257">
        <f t="shared" si="0"/>
        <v>100</v>
      </c>
      <c r="I55" s="245"/>
    </row>
    <row r="56" spans="1:9" ht="25.5" x14ac:dyDescent="0.2">
      <c r="A56" s="7" t="s">
        <v>66</v>
      </c>
      <c r="B56" s="1" t="s">
        <v>23</v>
      </c>
      <c r="C56" s="1">
        <v>13</v>
      </c>
      <c r="D56" s="1" t="s">
        <v>80</v>
      </c>
      <c r="E56" s="1">
        <v>200</v>
      </c>
      <c r="F56" s="18">
        <f>+'[1]ведом 3'!G219</f>
        <v>1</v>
      </c>
      <c r="G56" s="18">
        <f>+вед!H218</f>
        <v>1</v>
      </c>
      <c r="H56" s="257">
        <f t="shared" si="0"/>
        <v>100</v>
      </c>
      <c r="I56" s="245"/>
    </row>
    <row r="57" spans="1:9" ht="25.5" x14ac:dyDescent="0.2">
      <c r="A57" s="7" t="s">
        <v>81</v>
      </c>
      <c r="B57" s="1" t="s">
        <v>23</v>
      </c>
      <c r="C57" s="1" t="s">
        <v>101</v>
      </c>
      <c r="D57" s="1" t="s">
        <v>82</v>
      </c>
      <c r="E57" s="1" t="s">
        <v>8</v>
      </c>
      <c r="F57" s="18">
        <f>+F58+F59</f>
        <v>555.1</v>
      </c>
      <c r="G57" s="18">
        <f>+G58+G59</f>
        <v>555.1</v>
      </c>
      <c r="H57" s="257">
        <f t="shared" si="0"/>
        <v>100</v>
      </c>
      <c r="I57" s="245"/>
    </row>
    <row r="58" spans="1:9" ht="38.25" x14ac:dyDescent="0.2">
      <c r="A58" s="7" t="s">
        <v>21</v>
      </c>
      <c r="B58" s="1" t="s">
        <v>23</v>
      </c>
      <c r="C58" s="1" t="s">
        <v>101</v>
      </c>
      <c r="D58" s="1" t="s">
        <v>82</v>
      </c>
      <c r="E58" s="1">
        <v>100</v>
      </c>
      <c r="F58" s="18">
        <f>+'[1]ведом 3'!G221</f>
        <v>433.3</v>
      </c>
      <c r="G58" s="18">
        <f>+вед!H220</f>
        <v>433.3</v>
      </c>
      <c r="H58" s="257">
        <f t="shared" si="0"/>
        <v>100</v>
      </c>
      <c r="I58" s="245"/>
    </row>
    <row r="59" spans="1:9" ht="25.5" x14ac:dyDescent="0.2">
      <c r="A59" s="7" t="s">
        <v>66</v>
      </c>
      <c r="B59" s="1" t="s">
        <v>23</v>
      </c>
      <c r="C59" s="1" t="s">
        <v>101</v>
      </c>
      <c r="D59" s="1" t="s">
        <v>462</v>
      </c>
      <c r="E59" s="1">
        <v>200</v>
      </c>
      <c r="F59" s="18">
        <f>+'[1]ведом 3'!G222</f>
        <v>121.8</v>
      </c>
      <c r="G59" s="18">
        <f>+вед!H221</f>
        <v>121.8</v>
      </c>
      <c r="H59" s="257">
        <f t="shared" si="0"/>
        <v>100</v>
      </c>
      <c r="I59" s="245"/>
    </row>
    <row r="60" spans="1:9" s="248" customFormat="1" x14ac:dyDescent="0.2">
      <c r="A60" s="10" t="s">
        <v>83</v>
      </c>
      <c r="B60" s="188" t="s">
        <v>12</v>
      </c>
      <c r="C60" s="188" t="s">
        <v>98</v>
      </c>
      <c r="D60" s="188" t="s">
        <v>64</v>
      </c>
      <c r="E60" s="188" t="s">
        <v>8</v>
      </c>
      <c r="F60" s="21">
        <f>+F61</f>
        <v>1293.8</v>
      </c>
      <c r="G60" s="21">
        <f>+G61</f>
        <v>1293.8</v>
      </c>
      <c r="H60" s="257">
        <f t="shared" si="0"/>
        <v>100</v>
      </c>
      <c r="I60" s="249"/>
    </row>
    <row r="61" spans="1:9" x14ac:dyDescent="0.2">
      <c r="A61" s="7" t="s">
        <v>50</v>
      </c>
      <c r="B61" s="1" t="s">
        <v>12</v>
      </c>
      <c r="C61" s="1" t="s">
        <v>98</v>
      </c>
      <c r="D61" s="1" t="s">
        <v>74</v>
      </c>
      <c r="E61" s="1" t="s">
        <v>8</v>
      </c>
      <c r="F61" s="18">
        <f>+F62</f>
        <v>1293.8</v>
      </c>
      <c r="G61" s="18">
        <f>+G62</f>
        <v>1293.8</v>
      </c>
      <c r="H61" s="257">
        <f t="shared" si="0"/>
        <v>100</v>
      </c>
      <c r="I61" s="245"/>
    </row>
    <row r="62" spans="1:9" x14ac:dyDescent="0.2">
      <c r="A62" s="7" t="s">
        <v>50</v>
      </c>
      <c r="B62" s="1" t="s">
        <v>12</v>
      </c>
      <c r="C62" s="1" t="s">
        <v>98</v>
      </c>
      <c r="D62" s="1" t="s">
        <v>74</v>
      </c>
      <c r="E62" s="1" t="s">
        <v>8</v>
      </c>
      <c r="F62" s="18">
        <f>+F63+F66</f>
        <v>1293.8</v>
      </c>
      <c r="G62" s="18">
        <f>+G63+G66</f>
        <v>1293.8</v>
      </c>
      <c r="H62" s="257">
        <f t="shared" si="0"/>
        <v>100</v>
      </c>
      <c r="I62" s="245"/>
    </row>
    <row r="63" spans="1:9" x14ac:dyDescent="0.2">
      <c r="A63" s="7" t="s">
        <v>50</v>
      </c>
      <c r="B63" s="1" t="s">
        <v>12</v>
      </c>
      <c r="C63" s="1" t="s">
        <v>98</v>
      </c>
      <c r="D63" s="1" t="s">
        <v>209</v>
      </c>
      <c r="E63" s="1" t="s">
        <v>8</v>
      </c>
      <c r="F63" s="18">
        <f>+F64+F65</f>
        <v>414.2</v>
      </c>
      <c r="G63" s="18">
        <f>+G64+G65</f>
        <v>414.2</v>
      </c>
      <c r="H63" s="257">
        <f t="shared" si="0"/>
        <v>100</v>
      </c>
      <c r="I63" s="245"/>
    </row>
    <row r="64" spans="1:9" ht="38.25" x14ac:dyDescent="0.2">
      <c r="A64" s="7" t="s">
        <v>21</v>
      </c>
      <c r="B64" s="1" t="s">
        <v>12</v>
      </c>
      <c r="C64" s="1" t="s">
        <v>98</v>
      </c>
      <c r="D64" s="1" t="s">
        <v>209</v>
      </c>
      <c r="E64" s="1">
        <v>100</v>
      </c>
      <c r="F64" s="18">
        <f>+'[1]ведом 3'!G227</f>
        <v>359.4</v>
      </c>
      <c r="G64" s="18">
        <f>+вед!H226</f>
        <v>359.4</v>
      </c>
      <c r="H64" s="257">
        <f t="shared" si="0"/>
        <v>100</v>
      </c>
      <c r="I64" s="245"/>
    </row>
    <row r="65" spans="1:9" ht="25.5" x14ac:dyDescent="0.2">
      <c r="A65" s="7" t="s">
        <v>66</v>
      </c>
      <c r="B65" s="1" t="s">
        <v>12</v>
      </c>
      <c r="C65" s="1" t="s">
        <v>98</v>
      </c>
      <c r="D65" s="1" t="s">
        <v>209</v>
      </c>
      <c r="E65" s="1">
        <v>200</v>
      </c>
      <c r="F65" s="18">
        <f>+'[1]ведом 3'!G228</f>
        <v>54.8</v>
      </c>
      <c r="G65" s="18">
        <f>+вед!H227</f>
        <v>54.8</v>
      </c>
      <c r="H65" s="257">
        <f t="shared" si="0"/>
        <v>100</v>
      </c>
      <c r="I65" s="245"/>
    </row>
    <row r="66" spans="1:9" x14ac:dyDescent="0.2">
      <c r="A66" s="7" t="s">
        <v>17</v>
      </c>
      <c r="B66" s="1" t="s">
        <v>12</v>
      </c>
      <c r="C66" s="1" t="s">
        <v>98</v>
      </c>
      <c r="D66" s="1" t="s">
        <v>209</v>
      </c>
      <c r="E66" s="1">
        <v>500</v>
      </c>
      <c r="F66" s="18">
        <f>+'[1]ведом 3'!G183</f>
        <v>879.6</v>
      </c>
      <c r="G66" s="18">
        <f>+вед!H182</f>
        <v>879.6</v>
      </c>
      <c r="H66" s="257">
        <f t="shared" si="0"/>
        <v>100</v>
      </c>
      <c r="I66" s="245"/>
    </row>
    <row r="67" spans="1:9" s="248" customFormat="1" ht="25.5" x14ac:dyDescent="0.2">
      <c r="A67" s="10" t="s">
        <v>78</v>
      </c>
      <c r="B67" s="188" t="s">
        <v>98</v>
      </c>
      <c r="C67" s="188" t="s">
        <v>102</v>
      </c>
      <c r="D67" s="188"/>
      <c r="E67" s="188" t="s">
        <v>8</v>
      </c>
      <c r="F67" s="21">
        <f>+F69+F72+F76+F74</f>
        <v>1705.5000000000002</v>
      </c>
      <c r="G67" s="21">
        <f>+G69+G72+G76+G74</f>
        <v>1705.4854</v>
      </c>
      <c r="H67" s="257">
        <f t="shared" si="0"/>
        <v>99.999143946056861</v>
      </c>
      <c r="I67" s="249"/>
    </row>
    <row r="68" spans="1:9" s="248" customFormat="1" ht="38.25" x14ac:dyDescent="0.2">
      <c r="A68" s="10" t="s">
        <v>502</v>
      </c>
      <c r="B68" s="1" t="s">
        <v>98</v>
      </c>
      <c r="C68" s="1" t="s">
        <v>102</v>
      </c>
      <c r="D68" s="188"/>
      <c r="E68" s="188"/>
      <c r="F68" s="21">
        <f>+F69</f>
        <v>1513.6000000000001</v>
      </c>
      <c r="G68" s="21">
        <f>+G69</f>
        <v>1513.5863999999999</v>
      </c>
      <c r="H68" s="257">
        <f t="shared" si="0"/>
        <v>99.999101479915424</v>
      </c>
      <c r="I68" s="249"/>
    </row>
    <row r="69" spans="1:9" ht="25.5" x14ac:dyDescent="0.2">
      <c r="A69" s="7" t="s">
        <v>503</v>
      </c>
      <c r="B69" s="1" t="s">
        <v>98</v>
      </c>
      <c r="C69" s="1" t="s">
        <v>102</v>
      </c>
      <c r="D69" s="1" t="s">
        <v>154</v>
      </c>
      <c r="E69" s="1"/>
      <c r="F69" s="18">
        <f>+F70+F71</f>
        <v>1513.6000000000001</v>
      </c>
      <c r="G69" s="18">
        <f>+G70+G71</f>
        <v>1513.5863999999999</v>
      </c>
      <c r="H69" s="257">
        <f t="shared" si="0"/>
        <v>99.999101479915424</v>
      </c>
      <c r="I69" s="245"/>
    </row>
    <row r="70" spans="1:9" ht="38.25" x14ac:dyDescent="0.2">
      <c r="A70" s="7" t="s">
        <v>21</v>
      </c>
      <c r="B70" s="1" t="s">
        <v>98</v>
      </c>
      <c r="C70" s="1" t="s">
        <v>102</v>
      </c>
      <c r="D70" s="1" t="s">
        <v>154</v>
      </c>
      <c r="E70" s="1">
        <v>100</v>
      </c>
      <c r="F70" s="18">
        <f>+'[1]ведом 3'!G231</f>
        <v>1455.9</v>
      </c>
      <c r="G70" s="18">
        <f>+вед!H230</f>
        <v>1455.9479999999999</v>
      </c>
      <c r="H70" s="257">
        <f t="shared" si="0"/>
        <v>100.00329692973418</v>
      </c>
      <c r="I70" s="245"/>
    </row>
    <row r="71" spans="1:9" ht="25.5" x14ac:dyDescent="0.2">
      <c r="A71" s="7" t="s">
        <v>66</v>
      </c>
      <c r="B71" s="1" t="s">
        <v>98</v>
      </c>
      <c r="C71" s="1" t="s">
        <v>102</v>
      </c>
      <c r="D71" s="1" t="s">
        <v>154</v>
      </c>
      <c r="E71" s="1" t="s">
        <v>16</v>
      </c>
      <c r="F71" s="18">
        <f>+'[1]ведом 3'!G232</f>
        <v>57.7</v>
      </c>
      <c r="G71" s="18">
        <f>+вед!H231</f>
        <v>57.638399999999997</v>
      </c>
      <c r="H71" s="257">
        <f t="shared" si="0"/>
        <v>99.893240901213161</v>
      </c>
      <c r="I71" s="245"/>
    </row>
    <row r="72" spans="1:9" ht="38.25" x14ac:dyDescent="0.2">
      <c r="A72" s="24" t="s">
        <v>504</v>
      </c>
      <c r="B72" s="1" t="s">
        <v>98</v>
      </c>
      <c r="C72" s="1" t="s">
        <v>102</v>
      </c>
      <c r="D72" s="1" t="s">
        <v>174</v>
      </c>
      <c r="E72" s="1"/>
      <c r="F72" s="18">
        <f>+F73</f>
        <v>40</v>
      </c>
      <c r="G72" s="18">
        <f>+G73</f>
        <v>40</v>
      </c>
      <c r="H72" s="257">
        <f t="shared" si="0"/>
        <v>100</v>
      </c>
      <c r="I72" s="245"/>
    </row>
    <row r="73" spans="1:9" ht="25.5" x14ac:dyDescent="0.2">
      <c r="A73" s="7" t="s">
        <v>66</v>
      </c>
      <c r="B73" s="1" t="s">
        <v>98</v>
      </c>
      <c r="C73" s="1" t="s">
        <v>102</v>
      </c>
      <c r="D73" s="1" t="s">
        <v>174</v>
      </c>
      <c r="E73" s="1">
        <v>200</v>
      </c>
      <c r="F73" s="18">
        <f>+'[1]ведом 3'!G235</f>
        <v>40</v>
      </c>
      <c r="G73" s="18">
        <f>+вед!H234</f>
        <v>40</v>
      </c>
      <c r="H73" s="257">
        <f t="shared" si="0"/>
        <v>100</v>
      </c>
      <c r="I73" s="245"/>
    </row>
    <row r="74" spans="1:9" ht="25.5" x14ac:dyDescent="0.2">
      <c r="A74" s="206" t="s">
        <v>151</v>
      </c>
      <c r="B74" s="1" t="s">
        <v>98</v>
      </c>
      <c r="C74" s="1" t="s">
        <v>102</v>
      </c>
      <c r="D74" s="1"/>
      <c r="E74" s="1"/>
      <c r="F74" s="18">
        <f>+F75</f>
        <v>39.900000000000006</v>
      </c>
      <c r="G74" s="18">
        <f>+G75</f>
        <v>39.9</v>
      </c>
      <c r="H74" s="257">
        <f t="shared" si="0"/>
        <v>99.999999999999972</v>
      </c>
      <c r="I74" s="245"/>
    </row>
    <row r="75" spans="1:9" ht="25.5" x14ac:dyDescent="0.2">
      <c r="A75" s="206" t="s">
        <v>66</v>
      </c>
      <c r="B75" s="1" t="s">
        <v>98</v>
      </c>
      <c r="C75" s="1" t="s">
        <v>102</v>
      </c>
      <c r="D75" s="1" t="s">
        <v>465</v>
      </c>
      <c r="E75" s="1">
        <v>200</v>
      </c>
      <c r="F75" s="18">
        <f>+'[1]ведом 3'!G239</f>
        <v>39.900000000000006</v>
      </c>
      <c r="G75" s="18">
        <f>+вед!H238</f>
        <v>39.9</v>
      </c>
      <c r="H75" s="257">
        <f t="shared" si="0"/>
        <v>99.999999999999972</v>
      </c>
      <c r="I75" s="245"/>
    </row>
    <row r="76" spans="1:9" ht="36" x14ac:dyDescent="0.2">
      <c r="A76" s="220" t="s">
        <v>466</v>
      </c>
      <c r="B76" s="1" t="s">
        <v>98</v>
      </c>
      <c r="C76" s="1">
        <v>14</v>
      </c>
      <c r="D76" s="1" t="s">
        <v>467</v>
      </c>
      <c r="E76" s="1"/>
      <c r="F76" s="18">
        <f>+F77</f>
        <v>112</v>
      </c>
      <c r="G76" s="18">
        <f>+G77</f>
        <v>111.999</v>
      </c>
      <c r="H76" s="257">
        <f t="shared" ref="H76:H139" si="1">+G76/F76*100</f>
        <v>99.999107142857142</v>
      </c>
      <c r="I76" s="245"/>
    </row>
    <row r="77" spans="1:9" ht="25.5" x14ac:dyDescent="0.2">
      <c r="A77" s="7" t="s">
        <v>66</v>
      </c>
      <c r="B77" s="1" t="s">
        <v>98</v>
      </c>
      <c r="C77" s="1">
        <v>14</v>
      </c>
      <c r="D77" s="1" t="s">
        <v>467</v>
      </c>
      <c r="E77" s="1">
        <v>200</v>
      </c>
      <c r="F77" s="18">
        <f>+'[1]ведом 3'!G241</f>
        <v>112</v>
      </c>
      <c r="G77" s="18">
        <f>+вед!H240</f>
        <v>111.999</v>
      </c>
      <c r="H77" s="257">
        <f t="shared" si="1"/>
        <v>99.999107142857142</v>
      </c>
      <c r="I77" s="245"/>
    </row>
    <row r="78" spans="1:9" x14ac:dyDescent="0.2">
      <c r="A78" s="10" t="s">
        <v>75</v>
      </c>
      <c r="B78" s="188" t="s">
        <v>19</v>
      </c>
      <c r="C78" s="20" t="s">
        <v>187</v>
      </c>
      <c r="D78" s="1" t="s">
        <v>64</v>
      </c>
      <c r="E78" s="31"/>
      <c r="F78" s="21">
        <f>+F79+F84+F87+F89+F91+F94</f>
        <v>15829.824000000001</v>
      </c>
      <c r="G78" s="21">
        <f>+G79+G84+G87+G89+G91+G94</f>
        <v>15682.165339999998</v>
      </c>
      <c r="H78" s="257">
        <f t="shared" si="1"/>
        <v>99.067212244431758</v>
      </c>
      <c r="I78" s="245"/>
    </row>
    <row r="79" spans="1:9" x14ac:dyDescent="0.2">
      <c r="A79" s="19" t="s">
        <v>42</v>
      </c>
      <c r="B79" s="1" t="s">
        <v>19</v>
      </c>
      <c r="C79" s="3" t="s">
        <v>103</v>
      </c>
      <c r="D79" s="1" t="s">
        <v>70</v>
      </c>
      <c r="E79" s="1" t="s">
        <v>8</v>
      </c>
      <c r="F79" s="18">
        <f>+F80+F81</f>
        <v>5008.6629999999996</v>
      </c>
      <c r="G79" s="18">
        <f>+G80+G81</f>
        <v>4942.1521899999998</v>
      </c>
      <c r="H79" s="257">
        <f t="shared" si="1"/>
        <v>98.672084546315062</v>
      </c>
    </row>
    <row r="80" spans="1:9" ht="38.25" x14ac:dyDescent="0.2">
      <c r="A80" s="7" t="s">
        <v>21</v>
      </c>
      <c r="B80" s="1" t="s">
        <v>19</v>
      </c>
      <c r="C80" s="1" t="s">
        <v>103</v>
      </c>
      <c r="D80" s="1" t="s">
        <v>71</v>
      </c>
      <c r="E80" s="1">
        <v>100</v>
      </c>
      <c r="F80" s="18">
        <f>+'[1]ведом 3'!G46</f>
        <v>4268.2</v>
      </c>
      <c r="G80" s="18">
        <f>+вед!H45</f>
        <v>4201.6924300000001</v>
      </c>
      <c r="H80" s="257">
        <f t="shared" si="1"/>
        <v>98.441788810271319</v>
      </c>
      <c r="I80" s="245"/>
    </row>
    <row r="81" spans="1:10" x14ac:dyDescent="0.2">
      <c r="A81" s="7" t="s">
        <v>119</v>
      </c>
      <c r="B81" s="1" t="s">
        <v>19</v>
      </c>
      <c r="C81" s="1" t="s">
        <v>103</v>
      </c>
      <c r="D81" s="1" t="s">
        <v>72</v>
      </c>
      <c r="E81" s="1" t="s">
        <v>8</v>
      </c>
      <c r="F81" s="18">
        <f>+F82+F83</f>
        <v>740.46300000000008</v>
      </c>
      <c r="G81" s="18">
        <f>+вед!H46</f>
        <v>740.45976000000007</v>
      </c>
      <c r="H81" s="257">
        <f t="shared" si="1"/>
        <v>99.999562435935346</v>
      </c>
      <c r="I81" s="245"/>
    </row>
    <row r="82" spans="1:10" ht="25.5" x14ac:dyDescent="0.2">
      <c r="A82" s="7" t="s">
        <v>66</v>
      </c>
      <c r="B82" s="1" t="s">
        <v>19</v>
      </c>
      <c r="C82" s="1" t="s">
        <v>103</v>
      </c>
      <c r="D82" s="1" t="s">
        <v>72</v>
      </c>
      <c r="E82" s="1" t="s">
        <v>16</v>
      </c>
      <c r="F82" s="18">
        <f>+'[1]ведом 3'!G48</f>
        <v>714.77700000000004</v>
      </c>
      <c r="G82" s="18">
        <f>+вед!H47</f>
        <v>714.77376000000004</v>
      </c>
      <c r="H82" s="257">
        <f t="shared" si="1"/>
        <v>99.999546711771643</v>
      </c>
      <c r="I82" s="245"/>
    </row>
    <row r="83" spans="1:10" x14ac:dyDescent="0.2">
      <c r="A83" s="7" t="s">
        <v>24</v>
      </c>
      <c r="B83" s="1" t="s">
        <v>19</v>
      </c>
      <c r="C83" s="1" t="s">
        <v>103</v>
      </c>
      <c r="D83" s="1" t="s">
        <v>72</v>
      </c>
      <c r="E83" s="1" t="s">
        <v>25</v>
      </c>
      <c r="F83" s="18">
        <f>+'[1]ведом 3'!G49</f>
        <v>25.686</v>
      </c>
      <c r="G83" s="18">
        <f>+вед!H48</f>
        <v>25.686</v>
      </c>
      <c r="H83" s="257">
        <f t="shared" si="1"/>
        <v>100</v>
      </c>
      <c r="I83" s="245"/>
    </row>
    <row r="84" spans="1:10" x14ac:dyDescent="0.2">
      <c r="A84" s="7" t="s">
        <v>163</v>
      </c>
      <c r="B84" s="1" t="s">
        <v>19</v>
      </c>
      <c r="C84" s="1" t="s">
        <v>103</v>
      </c>
      <c r="D84" s="1"/>
      <c r="E84" s="1"/>
      <c r="F84" s="18">
        <f>+F85</f>
        <v>200</v>
      </c>
      <c r="G84" s="18">
        <f>+G85</f>
        <v>200</v>
      </c>
      <c r="H84" s="257">
        <f t="shared" si="1"/>
        <v>100</v>
      </c>
      <c r="I84" s="245"/>
    </row>
    <row r="85" spans="1:10" ht="38.25" x14ac:dyDescent="0.2">
      <c r="A85" s="24" t="s">
        <v>505</v>
      </c>
      <c r="B85" s="1" t="s">
        <v>19</v>
      </c>
      <c r="C85" s="1" t="s">
        <v>103</v>
      </c>
      <c r="D85" s="1" t="s">
        <v>171</v>
      </c>
      <c r="E85" s="1"/>
      <c r="F85" s="18">
        <f>+F86</f>
        <v>200</v>
      </c>
      <c r="G85" s="18">
        <f>+G86</f>
        <v>200</v>
      </c>
      <c r="H85" s="257">
        <f t="shared" si="1"/>
        <v>100</v>
      </c>
      <c r="I85" s="245"/>
    </row>
    <row r="86" spans="1:10" ht="25.5" x14ac:dyDescent="0.2">
      <c r="A86" s="7" t="s">
        <v>66</v>
      </c>
      <c r="B86" s="1" t="s">
        <v>19</v>
      </c>
      <c r="C86" s="1" t="s">
        <v>103</v>
      </c>
      <c r="D86" s="1" t="s">
        <v>171</v>
      </c>
      <c r="E86" s="1">
        <v>200</v>
      </c>
      <c r="F86" s="18">
        <f>+'[1]ведом 3'!G52</f>
        <v>200</v>
      </c>
      <c r="G86" s="18">
        <f>+вед!H51</f>
        <v>200</v>
      </c>
      <c r="H86" s="257">
        <f t="shared" si="1"/>
        <v>100</v>
      </c>
      <c r="I86" s="245"/>
    </row>
    <row r="87" spans="1:10" ht="38.25" x14ac:dyDescent="0.2">
      <c r="A87" s="206" t="s">
        <v>469</v>
      </c>
      <c r="B87" s="1" t="s">
        <v>19</v>
      </c>
      <c r="C87" s="1" t="s">
        <v>103</v>
      </c>
      <c r="D87" s="1" t="s">
        <v>470</v>
      </c>
      <c r="E87" s="1"/>
      <c r="F87" s="18">
        <f>+F88</f>
        <v>101.5</v>
      </c>
      <c r="G87" s="18">
        <f>+G88</f>
        <v>101.5</v>
      </c>
      <c r="H87" s="257">
        <f t="shared" si="1"/>
        <v>100</v>
      </c>
      <c r="I87" s="245"/>
    </row>
    <row r="88" spans="1:10" ht="25.5" x14ac:dyDescent="0.2">
      <c r="A88" s="7" t="s">
        <v>66</v>
      </c>
      <c r="B88" s="1" t="s">
        <v>19</v>
      </c>
      <c r="C88" s="3" t="s">
        <v>103</v>
      </c>
      <c r="D88" s="1" t="s">
        <v>470</v>
      </c>
      <c r="E88" s="1">
        <v>200</v>
      </c>
      <c r="F88" s="18">
        <f>+'[1]ведом 3'!G245</f>
        <v>101.5</v>
      </c>
      <c r="G88" s="18">
        <f>+вед!H244</f>
        <v>101.5</v>
      </c>
      <c r="H88" s="257">
        <f t="shared" si="1"/>
        <v>100</v>
      </c>
      <c r="I88" s="245"/>
    </row>
    <row r="89" spans="1:10" ht="38.25" x14ac:dyDescent="0.2">
      <c r="A89" s="23" t="s">
        <v>471</v>
      </c>
      <c r="B89" s="1" t="s">
        <v>19</v>
      </c>
      <c r="C89" s="3" t="s">
        <v>103</v>
      </c>
      <c r="D89" s="1" t="s">
        <v>472</v>
      </c>
      <c r="E89" s="1"/>
      <c r="F89" s="18">
        <f>+F90</f>
        <v>1400</v>
      </c>
      <c r="G89" s="18">
        <f>+G90</f>
        <v>1400</v>
      </c>
      <c r="H89" s="257">
        <f t="shared" si="1"/>
        <v>100</v>
      </c>
      <c r="I89" s="245"/>
    </row>
    <row r="90" spans="1:10" ht="25.5" x14ac:dyDescent="0.2">
      <c r="A90" s="206" t="s">
        <v>66</v>
      </c>
      <c r="B90" s="1" t="s">
        <v>19</v>
      </c>
      <c r="C90" s="3" t="s">
        <v>103</v>
      </c>
      <c r="D90" s="1" t="s">
        <v>472</v>
      </c>
      <c r="E90" s="1">
        <v>200</v>
      </c>
      <c r="F90" s="18">
        <f>+'[1]ведом 3'!G247</f>
        <v>1400</v>
      </c>
      <c r="G90" s="18">
        <f>+вед!H246</f>
        <v>1400</v>
      </c>
      <c r="H90" s="257">
        <f t="shared" si="1"/>
        <v>100</v>
      </c>
      <c r="I90" s="245"/>
    </row>
    <row r="91" spans="1:10" ht="25.5" x14ac:dyDescent="0.2">
      <c r="A91" s="10" t="s">
        <v>506</v>
      </c>
      <c r="B91" s="3" t="s">
        <v>19</v>
      </c>
      <c r="C91" s="3" t="s">
        <v>102</v>
      </c>
      <c r="D91" s="1"/>
      <c r="E91" s="1"/>
      <c r="F91" s="18">
        <f>+F92</f>
        <v>8725.8009999999995</v>
      </c>
      <c r="G91" s="18">
        <f>+G92</f>
        <v>8644.6681499999995</v>
      </c>
      <c r="H91" s="257">
        <f t="shared" si="1"/>
        <v>99.070195962525389</v>
      </c>
      <c r="I91" s="245"/>
    </row>
    <row r="92" spans="1:10" x14ac:dyDescent="0.2">
      <c r="A92" s="7" t="s">
        <v>159</v>
      </c>
      <c r="B92" s="3" t="s">
        <v>19</v>
      </c>
      <c r="C92" s="3" t="s">
        <v>102</v>
      </c>
      <c r="D92" s="1" t="s">
        <v>216</v>
      </c>
      <c r="E92" s="1"/>
      <c r="F92" s="18">
        <f>+F93</f>
        <v>8725.8009999999995</v>
      </c>
      <c r="G92" s="18">
        <f>+G93</f>
        <v>8644.6681499999995</v>
      </c>
      <c r="H92" s="257">
        <f t="shared" si="1"/>
        <v>99.070195962525389</v>
      </c>
      <c r="I92" s="245"/>
    </row>
    <row r="93" spans="1:10" ht="25.5" x14ac:dyDescent="0.2">
      <c r="A93" s="7" t="s">
        <v>66</v>
      </c>
      <c r="B93" s="1" t="s">
        <v>19</v>
      </c>
      <c r="C93" s="3" t="s">
        <v>102</v>
      </c>
      <c r="D93" s="1" t="s">
        <v>216</v>
      </c>
      <c r="E93" s="1">
        <v>200</v>
      </c>
      <c r="F93" s="18">
        <f>+'[1]ведом 3'!G249</f>
        <v>8725.8009999999995</v>
      </c>
      <c r="G93" s="18">
        <f>+вед!H248</f>
        <v>8644.6681499999995</v>
      </c>
      <c r="H93" s="257">
        <f t="shared" si="1"/>
        <v>99.070195962525389</v>
      </c>
      <c r="I93" s="245"/>
    </row>
    <row r="94" spans="1:10" x14ac:dyDescent="0.2">
      <c r="A94" s="7" t="s">
        <v>161</v>
      </c>
      <c r="B94" s="1" t="s">
        <v>19</v>
      </c>
      <c r="C94" s="3" t="s">
        <v>30</v>
      </c>
      <c r="D94" s="1"/>
      <c r="E94" s="1"/>
      <c r="F94" s="18">
        <f>+F95</f>
        <v>393.86</v>
      </c>
      <c r="G94" s="18">
        <f>+G95</f>
        <v>393.84500000000003</v>
      </c>
      <c r="H94" s="257">
        <f t="shared" si="1"/>
        <v>99.996191540141169</v>
      </c>
      <c r="I94" s="245"/>
    </row>
    <row r="95" spans="1:10" x14ac:dyDescent="0.2">
      <c r="A95" s="7" t="s">
        <v>164</v>
      </c>
      <c r="B95" s="1" t="s">
        <v>19</v>
      </c>
      <c r="C95" s="3" t="s">
        <v>30</v>
      </c>
      <c r="D95" s="1"/>
      <c r="E95" s="1"/>
      <c r="F95" s="18">
        <f>+F96+F98+F100</f>
        <v>393.86</v>
      </c>
      <c r="G95" s="18">
        <f>+G96+G98+G100</f>
        <v>393.84500000000003</v>
      </c>
      <c r="H95" s="257">
        <f t="shared" si="1"/>
        <v>99.996191540141169</v>
      </c>
      <c r="I95" s="245"/>
      <c r="J95" s="250"/>
    </row>
    <row r="96" spans="1:10" ht="25.5" x14ac:dyDescent="0.2">
      <c r="A96" s="23" t="s">
        <v>208</v>
      </c>
      <c r="B96" s="1" t="s">
        <v>19</v>
      </c>
      <c r="C96" s="3" t="s">
        <v>30</v>
      </c>
      <c r="D96" s="1" t="s">
        <v>176</v>
      </c>
      <c r="E96" s="1"/>
      <c r="F96" s="18">
        <f>+F97</f>
        <v>43</v>
      </c>
      <c r="G96" s="18">
        <f>+G97</f>
        <v>43</v>
      </c>
      <c r="H96" s="257">
        <f t="shared" si="1"/>
        <v>100</v>
      </c>
      <c r="I96" s="245"/>
      <c r="J96" s="250"/>
    </row>
    <row r="97" spans="1:10" ht="25.5" x14ac:dyDescent="0.2">
      <c r="A97" s="7" t="s">
        <v>66</v>
      </c>
      <c r="B97" s="1" t="s">
        <v>19</v>
      </c>
      <c r="C97" s="3" t="s">
        <v>30</v>
      </c>
      <c r="D97" s="1" t="s">
        <v>176</v>
      </c>
      <c r="E97" s="1">
        <v>200</v>
      </c>
      <c r="F97" s="18">
        <f>+'[1]ведом 3'!G252</f>
        <v>43</v>
      </c>
      <c r="G97" s="18">
        <f>+вед!H251</f>
        <v>43</v>
      </c>
      <c r="H97" s="257">
        <f t="shared" si="1"/>
        <v>100</v>
      </c>
      <c r="I97" s="245"/>
      <c r="J97" s="250"/>
    </row>
    <row r="98" spans="1:10" ht="25.5" x14ac:dyDescent="0.2">
      <c r="A98" s="22" t="s">
        <v>473</v>
      </c>
      <c r="B98" s="1" t="s">
        <v>19</v>
      </c>
      <c r="C98" s="3" t="s">
        <v>30</v>
      </c>
      <c r="D98" s="1" t="s">
        <v>177</v>
      </c>
      <c r="E98" s="1"/>
      <c r="F98" s="18">
        <f>+F99</f>
        <v>256.06</v>
      </c>
      <c r="G98" s="18">
        <f>+G99</f>
        <v>256.06</v>
      </c>
      <c r="H98" s="257">
        <f t="shared" si="1"/>
        <v>100</v>
      </c>
      <c r="I98" s="245"/>
      <c r="J98" s="250"/>
    </row>
    <row r="99" spans="1:10" ht="25.5" x14ac:dyDescent="0.2">
      <c r="A99" s="7" t="s">
        <v>66</v>
      </c>
      <c r="B99" s="1" t="s">
        <v>19</v>
      </c>
      <c r="C99" s="3" t="s">
        <v>30</v>
      </c>
      <c r="D99" s="1" t="s">
        <v>177</v>
      </c>
      <c r="E99" s="1">
        <v>200</v>
      </c>
      <c r="F99" s="18">
        <f>+'[1]ведом 3'!G254</f>
        <v>256.06</v>
      </c>
      <c r="G99" s="18">
        <f>+вед!H253</f>
        <v>256.06</v>
      </c>
      <c r="H99" s="257">
        <f t="shared" si="1"/>
        <v>100</v>
      </c>
      <c r="I99" s="245"/>
      <c r="J99" s="250"/>
    </row>
    <row r="100" spans="1:10" ht="24" x14ac:dyDescent="0.2">
      <c r="A100" s="224" t="s">
        <v>474</v>
      </c>
      <c r="B100" s="1" t="s">
        <v>19</v>
      </c>
      <c r="C100" s="3" t="s">
        <v>30</v>
      </c>
      <c r="D100" s="226" t="s">
        <v>193</v>
      </c>
      <c r="E100" s="48"/>
      <c r="F100" s="18">
        <f>+F101</f>
        <v>94.8</v>
      </c>
      <c r="G100" s="18">
        <f>+G101</f>
        <v>94.784999999999997</v>
      </c>
      <c r="H100" s="257">
        <f t="shared" si="1"/>
        <v>99.984177215189874</v>
      </c>
      <c r="I100" s="245"/>
      <c r="J100" s="250"/>
    </row>
    <row r="101" spans="1:10" ht="25.5" x14ac:dyDescent="0.2">
      <c r="A101" s="16" t="s">
        <v>66</v>
      </c>
      <c r="B101" s="1" t="s">
        <v>19</v>
      </c>
      <c r="C101" s="3" t="s">
        <v>30</v>
      </c>
      <c r="D101" s="226" t="s">
        <v>193</v>
      </c>
      <c r="E101" s="17">
        <v>200</v>
      </c>
      <c r="F101" s="18">
        <f>+'[1]ведом 3'!G256</f>
        <v>94.8</v>
      </c>
      <c r="G101" s="18">
        <f>+вед!H255</f>
        <v>94.784999999999997</v>
      </c>
      <c r="H101" s="257">
        <f t="shared" si="1"/>
        <v>99.984177215189874</v>
      </c>
      <c r="I101" s="245"/>
      <c r="J101" s="250"/>
    </row>
    <row r="102" spans="1:10" s="248" customFormat="1" x14ac:dyDescent="0.2">
      <c r="A102" s="34" t="s">
        <v>157</v>
      </c>
      <c r="B102" s="51" t="s">
        <v>103</v>
      </c>
      <c r="C102" s="51" t="s">
        <v>187</v>
      </c>
      <c r="D102" s="64"/>
      <c r="E102" s="34"/>
      <c r="F102" s="47">
        <f>+F103+F106+F109</f>
        <v>15733.86</v>
      </c>
      <c r="G102" s="47">
        <f>+G103+G106+G109</f>
        <v>15733.90681</v>
      </c>
      <c r="H102" s="257">
        <f t="shared" si="1"/>
        <v>100.00029751122739</v>
      </c>
      <c r="I102" s="249"/>
    </row>
    <row r="103" spans="1:10" s="248" customFormat="1" x14ac:dyDescent="0.2">
      <c r="A103" s="228" t="s">
        <v>475</v>
      </c>
      <c r="B103" s="37" t="s">
        <v>103</v>
      </c>
      <c r="C103" s="37" t="s">
        <v>23</v>
      </c>
      <c r="D103" s="229"/>
      <c r="E103" s="229"/>
      <c r="F103" s="47">
        <f>+F104</f>
        <v>4254.2</v>
      </c>
      <c r="G103" s="47">
        <f>+G104</f>
        <v>4254.2479999999996</v>
      </c>
      <c r="H103" s="257">
        <f t="shared" si="1"/>
        <v>100.00112829674204</v>
      </c>
      <c r="I103" s="249"/>
    </row>
    <row r="104" spans="1:10" s="248" customFormat="1" ht="48" x14ac:dyDescent="0.2">
      <c r="A104" s="230" t="s">
        <v>476</v>
      </c>
      <c r="B104" s="37" t="s">
        <v>103</v>
      </c>
      <c r="C104" s="37" t="s">
        <v>23</v>
      </c>
      <c r="D104" s="231" t="s">
        <v>507</v>
      </c>
      <c r="E104" s="34"/>
      <c r="F104" s="48">
        <f>+F105</f>
        <v>4254.2</v>
      </c>
      <c r="G104" s="48">
        <f>+G105</f>
        <v>4254.2479999999996</v>
      </c>
      <c r="H104" s="257">
        <f t="shared" si="1"/>
        <v>100.00112829674204</v>
      </c>
      <c r="I104" s="249"/>
    </row>
    <row r="105" spans="1:10" s="248" customFormat="1" x14ac:dyDescent="0.2">
      <c r="A105" s="232" t="s">
        <v>478</v>
      </c>
      <c r="B105" s="35" t="s">
        <v>103</v>
      </c>
      <c r="C105" s="35" t="s">
        <v>23</v>
      </c>
      <c r="D105" s="251" t="s">
        <v>508</v>
      </c>
      <c r="E105" s="229">
        <v>400</v>
      </c>
      <c r="F105" s="48">
        <f>+'[1]ведом 3'!G260</f>
        <v>4254.2</v>
      </c>
      <c r="G105" s="48">
        <f>+вед!H259</f>
        <v>4254.2479999999996</v>
      </c>
      <c r="H105" s="257">
        <f t="shared" si="1"/>
        <v>100.00112829674204</v>
      </c>
      <c r="I105" s="249"/>
    </row>
    <row r="106" spans="1:10" s="248" customFormat="1" x14ac:dyDescent="0.2">
      <c r="A106" s="34" t="s">
        <v>480</v>
      </c>
      <c r="B106" s="51" t="s">
        <v>103</v>
      </c>
      <c r="C106" s="51" t="s">
        <v>12</v>
      </c>
      <c r="D106" s="36"/>
      <c r="E106" s="34"/>
      <c r="F106" s="47">
        <f>+F107</f>
        <v>1377.8109999999999</v>
      </c>
      <c r="G106" s="47">
        <f>+G107</f>
        <v>1377.81061</v>
      </c>
      <c r="H106" s="257">
        <f t="shared" si="1"/>
        <v>99.999971694230922</v>
      </c>
      <c r="I106" s="249"/>
    </row>
    <row r="107" spans="1:10" s="248" customFormat="1" ht="24" x14ac:dyDescent="0.2">
      <c r="A107" s="27" t="s">
        <v>509</v>
      </c>
      <c r="B107" s="35" t="s">
        <v>103</v>
      </c>
      <c r="C107" s="35" t="s">
        <v>12</v>
      </c>
      <c r="D107" s="64" t="s">
        <v>178</v>
      </c>
      <c r="E107" s="32"/>
      <c r="F107" s="48">
        <f>+F108</f>
        <v>1377.8109999999999</v>
      </c>
      <c r="G107" s="48">
        <f>+G108</f>
        <v>1377.81061</v>
      </c>
      <c r="H107" s="257">
        <f t="shared" si="1"/>
        <v>99.999971694230922</v>
      </c>
      <c r="I107" s="249"/>
    </row>
    <row r="108" spans="1:10" s="248" customFormat="1" ht="25.5" x14ac:dyDescent="0.2">
      <c r="A108" s="7" t="s">
        <v>66</v>
      </c>
      <c r="B108" s="35" t="s">
        <v>103</v>
      </c>
      <c r="C108" s="35" t="s">
        <v>12</v>
      </c>
      <c r="D108" s="64" t="s">
        <v>178</v>
      </c>
      <c r="E108" s="32">
        <v>200</v>
      </c>
      <c r="F108" s="48">
        <f>+'[1]ведом 3'!G263</f>
        <v>1377.8109999999999</v>
      </c>
      <c r="G108" s="48">
        <f>+вед!H262</f>
        <v>1377.81061</v>
      </c>
      <c r="H108" s="257">
        <f t="shared" si="1"/>
        <v>99.999971694230922</v>
      </c>
      <c r="I108" s="249"/>
    </row>
    <row r="109" spans="1:10" s="248" customFormat="1" x14ac:dyDescent="0.2">
      <c r="A109" s="10" t="s">
        <v>481</v>
      </c>
      <c r="B109" s="51" t="s">
        <v>103</v>
      </c>
      <c r="C109" s="51" t="s">
        <v>98</v>
      </c>
      <c r="D109" s="51"/>
      <c r="E109" s="32"/>
      <c r="F109" s="47">
        <f>+F110+F112+F114</f>
        <v>10101.849</v>
      </c>
      <c r="G109" s="47">
        <f>+G110+G112+G114</f>
        <v>10101.8482</v>
      </c>
      <c r="H109" s="257">
        <f t="shared" si="1"/>
        <v>99.999992080657705</v>
      </c>
      <c r="I109" s="249"/>
    </row>
    <row r="110" spans="1:10" s="248" customFormat="1" ht="36" x14ac:dyDescent="0.2">
      <c r="A110" s="27" t="s">
        <v>510</v>
      </c>
      <c r="B110" s="35" t="s">
        <v>103</v>
      </c>
      <c r="C110" s="35" t="s">
        <v>98</v>
      </c>
      <c r="D110" s="64" t="s">
        <v>483</v>
      </c>
      <c r="E110" s="32"/>
      <c r="F110" s="48">
        <f>+F111</f>
        <v>532.91999999999996</v>
      </c>
      <c r="G110" s="48">
        <f>+G111</f>
        <v>532.91962999999998</v>
      </c>
      <c r="H110" s="257">
        <f t="shared" si="1"/>
        <v>99.999930571192678</v>
      </c>
      <c r="I110" s="249"/>
    </row>
    <row r="111" spans="1:10" s="248" customFormat="1" ht="25.5" x14ac:dyDescent="0.2">
      <c r="A111" s="7" t="s">
        <v>66</v>
      </c>
      <c r="B111" s="35" t="s">
        <v>103</v>
      </c>
      <c r="C111" s="35" t="s">
        <v>98</v>
      </c>
      <c r="D111" s="64" t="s">
        <v>483</v>
      </c>
      <c r="E111" s="32">
        <v>200</v>
      </c>
      <c r="F111" s="48">
        <f>+'[1]ведом 3'!G266</f>
        <v>532.91999999999996</v>
      </c>
      <c r="G111" s="48">
        <f>+вед!H265</f>
        <v>532.91962999999998</v>
      </c>
      <c r="H111" s="257">
        <f t="shared" si="1"/>
        <v>99.999930571192678</v>
      </c>
      <c r="I111" s="249"/>
    </row>
    <row r="112" spans="1:10" s="248" customFormat="1" ht="25.5" x14ac:dyDescent="0.2">
      <c r="A112" s="206" t="s">
        <v>484</v>
      </c>
      <c r="B112" s="35" t="s">
        <v>103</v>
      </c>
      <c r="C112" s="35" t="s">
        <v>98</v>
      </c>
      <c r="D112" s="64" t="s">
        <v>485</v>
      </c>
      <c r="E112" s="32"/>
      <c r="F112" s="48">
        <f>+F113</f>
        <v>997.5</v>
      </c>
      <c r="G112" s="48">
        <f>+G113</f>
        <v>997.5</v>
      </c>
      <c r="H112" s="257">
        <f t="shared" si="1"/>
        <v>100</v>
      </c>
      <c r="I112" s="249"/>
    </row>
    <row r="113" spans="1:9" s="248" customFormat="1" ht="25.5" x14ac:dyDescent="0.2">
      <c r="A113" s="206" t="s">
        <v>66</v>
      </c>
      <c r="B113" s="35" t="s">
        <v>103</v>
      </c>
      <c r="C113" s="35" t="s">
        <v>98</v>
      </c>
      <c r="D113" s="64" t="s">
        <v>485</v>
      </c>
      <c r="E113" s="32">
        <v>200</v>
      </c>
      <c r="F113" s="48">
        <f>+'[1]ведом 3'!G268</f>
        <v>997.5</v>
      </c>
      <c r="G113" s="48">
        <f>+вед!H267</f>
        <v>997.5</v>
      </c>
      <c r="H113" s="257">
        <f t="shared" si="1"/>
        <v>100</v>
      </c>
      <c r="I113" s="249"/>
    </row>
    <row r="114" spans="1:9" s="248" customFormat="1" ht="25.5" x14ac:dyDescent="0.2">
      <c r="A114" s="206" t="s">
        <v>486</v>
      </c>
      <c r="B114" s="35" t="s">
        <v>103</v>
      </c>
      <c r="C114" s="35" t="s">
        <v>98</v>
      </c>
      <c r="D114" s="64" t="s">
        <v>487</v>
      </c>
      <c r="E114" s="32"/>
      <c r="F114" s="48">
        <f>+F115</f>
        <v>8571.4290000000001</v>
      </c>
      <c r="G114" s="48">
        <f>+G115</f>
        <v>8571.42857</v>
      </c>
      <c r="H114" s="257">
        <f t="shared" si="1"/>
        <v>99.999994983333579</v>
      </c>
      <c r="I114" s="249"/>
    </row>
    <row r="115" spans="1:9" s="248" customFormat="1" ht="25.5" x14ac:dyDescent="0.2">
      <c r="A115" s="206" t="s">
        <v>66</v>
      </c>
      <c r="B115" s="35" t="s">
        <v>103</v>
      </c>
      <c r="C115" s="35" t="s">
        <v>98</v>
      </c>
      <c r="D115" s="64" t="s">
        <v>487</v>
      </c>
      <c r="E115" s="32">
        <v>200</v>
      </c>
      <c r="F115" s="48">
        <f>+'[1]ведом 3'!G270</f>
        <v>8571.4290000000001</v>
      </c>
      <c r="G115" s="48">
        <f>+вед!H269</f>
        <v>8571.42857</v>
      </c>
      <c r="H115" s="257">
        <f t="shared" si="1"/>
        <v>99.999994983333579</v>
      </c>
      <c r="I115" s="249"/>
    </row>
    <row r="116" spans="1:9" s="248" customFormat="1" x14ac:dyDescent="0.2">
      <c r="A116" s="205" t="s">
        <v>488</v>
      </c>
      <c r="B116" s="51" t="s">
        <v>100</v>
      </c>
      <c r="C116" s="51" t="s">
        <v>98</v>
      </c>
      <c r="D116" s="36"/>
      <c r="E116" s="34"/>
      <c r="F116" s="47">
        <f>+F117</f>
        <v>4304.9409999999998</v>
      </c>
      <c r="G116" s="47">
        <f>+G117</f>
        <v>4099.9435000000003</v>
      </c>
      <c r="H116" s="257">
        <f t="shared" si="1"/>
        <v>95.238088048128901</v>
      </c>
      <c r="I116" s="249"/>
    </row>
    <row r="117" spans="1:9" s="248" customFormat="1" x14ac:dyDescent="0.2">
      <c r="A117" s="230" t="s">
        <v>489</v>
      </c>
      <c r="B117" s="35" t="s">
        <v>100</v>
      </c>
      <c r="C117" s="35" t="s">
        <v>98</v>
      </c>
      <c r="D117" s="64" t="s">
        <v>490</v>
      </c>
      <c r="E117" s="32"/>
      <c r="F117" s="48">
        <f>+F118</f>
        <v>4304.9409999999998</v>
      </c>
      <c r="G117" s="48">
        <f>+G118</f>
        <v>4099.9435000000003</v>
      </c>
      <c r="H117" s="257">
        <f t="shared" si="1"/>
        <v>95.238088048128901</v>
      </c>
      <c r="I117" s="249"/>
    </row>
    <row r="118" spans="1:9" s="248" customFormat="1" ht="25.5" x14ac:dyDescent="0.2">
      <c r="A118" s="206" t="s">
        <v>66</v>
      </c>
      <c r="B118" s="35" t="s">
        <v>100</v>
      </c>
      <c r="C118" s="35" t="s">
        <v>98</v>
      </c>
      <c r="D118" s="64" t="s">
        <v>490</v>
      </c>
      <c r="E118" s="32">
        <v>200</v>
      </c>
      <c r="F118" s="48">
        <f>+'[1]ведом 3'!G273</f>
        <v>4304.9409999999998</v>
      </c>
      <c r="G118" s="48">
        <f>+вед!H272</f>
        <v>4099.9435000000003</v>
      </c>
      <c r="H118" s="257">
        <f t="shared" si="1"/>
        <v>95.238088048128901</v>
      </c>
      <c r="I118" s="249"/>
    </row>
    <row r="119" spans="1:9" s="248" customFormat="1" x14ac:dyDescent="0.2">
      <c r="A119" s="34" t="s">
        <v>9</v>
      </c>
      <c r="B119" s="20" t="s">
        <v>10</v>
      </c>
      <c r="C119" s="52"/>
      <c r="D119" s="36"/>
      <c r="E119" s="34"/>
      <c r="F119" s="49">
        <f>+F120+F124+F134+F142+F147</f>
        <v>398082.35700000002</v>
      </c>
      <c r="G119" s="49">
        <f>+G120+G124+G134+G142+G147</f>
        <v>394082.54181000002</v>
      </c>
      <c r="H119" s="257">
        <f t="shared" si="1"/>
        <v>98.995229223384058</v>
      </c>
      <c r="I119" s="249"/>
    </row>
    <row r="120" spans="1:9" x14ac:dyDescent="0.2">
      <c r="A120" s="7" t="s">
        <v>126</v>
      </c>
      <c r="B120" s="1" t="s">
        <v>10</v>
      </c>
      <c r="C120" s="3" t="s">
        <v>23</v>
      </c>
      <c r="D120" s="1" t="s">
        <v>511</v>
      </c>
      <c r="E120" s="1"/>
      <c r="F120" s="18">
        <f t="shared" ref="F120:G122" si="2">+F121</f>
        <v>98103.395000000004</v>
      </c>
      <c r="G120" s="18">
        <f t="shared" si="2"/>
        <v>95800.357629999999</v>
      </c>
      <c r="H120" s="257">
        <f t="shared" si="1"/>
        <v>97.652438664329594</v>
      </c>
      <c r="I120" s="245"/>
    </row>
    <row r="121" spans="1:9" ht="25.5" x14ac:dyDescent="0.2">
      <c r="A121" s="7" t="s">
        <v>127</v>
      </c>
      <c r="B121" s="1" t="s">
        <v>10</v>
      </c>
      <c r="C121" s="3" t="s">
        <v>23</v>
      </c>
      <c r="D121" s="1" t="s">
        <v>128</v>
      </c>
      <c r="E121" s="1"/>
      <c r="F121" s="18">
        <f t="shared" si="2"/>
        <v>98103.395000000004</v>
      </c>
      <c r="G121" s="18">
        <f t="shared" si="2"/>
        <v>95800.357629999999</v>
      </c>
      <c r="H121" s="257">
        <f t="shared" si="1"/>
        <v>97.652438664329594</v>
      </c>
      <c r="I121" s="245"/>
    </row>
    <row r="122" spans="1:9" x14ac:dyDescent="0.2">
      <c r="A122" s="7" t="s">
        <v>132</v>
      </c>
      <c r="B122" s="1" t="s">
        <v>10</v>
      </c>
      <c r="C122" s="3" t="s">
        <v>23</v>
      </c>
      <c r="D122" s="1" t="s">
        <v>128</v>
      </c>
      <c r="E122" s="1"/>
      <c r="F122" s="18">
        <f t="shared" si="2"/>
        <v>98103.395000000004</v>
      </c>
      <c r="G122" s="18">
        <f t="shared" si="2"/>
        <v>95800.357629999999</v>
      </c>
      <c r="H122" s="257">
        <f t="shared" si="1"/>
        <v>97.652438664329594</v>
      </c>
      <c r="I122" s="245"/>
    </row>
    <row r="123" spans="1:9" ht="25.5" x14ac:dyDescent="0.2">
      <c r="A123" s="7" t="s">
        <v>13</v>
      </c>
      <c r="B123" s="1" t="s">
        <v>10</v>
      </c>
      <c r="C123" s="3" t="s">
        <v>23</v>
      </c>
      <c r="D123" s="1" t="s">
        <v>128</v>
      </c>
      <c r="E123" s="1" t="s">
        <v>14</v>
      </c>
      <c r="F123" s="18">
        <f>+'[1]ведом 3'!G82</f>
        <v>98103.395000000004</v>
      </c>
      <c r="G123" s="18">
        <f>+вед!H81</f>
        <v>95800.357629999999</v>
      </c>
      <c r="H123" s="257">
        <f t="shared" si="1"/>
        <v>97.652438664329594</v>
      </c>
      <c r="I123" s="245"/>
    </row>
    <row r="124" spans="1:9" x14ac:dyDescent="0.2">
      <c r="A124" s="7" t="s">
        <v>11</v>
      </c>
      <c r="B124" s="1" t="s">
        <v>10</v>
      </c>
      <c r="C124" s="3" t="s">
        <v>12</v>
      </c>
      <c r="D124" s="1"/>
      <c r="E124" s="1"/>
      <c r="F124" s="18">
        <f>+F125+F132+F128+F130</f>
        <v>242141.05800000002</v>
      </c>
      <c r="G124" s="18">
        <f>+G125+G132+G128+G130</f>
        <v>241457.3976</v>
      </c>
      <c r="H124" s="257">
        <f t="shared" si="1"/>
        <v>99.717660273872255</v>
      </c>
      <c r="I124" s="245"/>
    </row>
    <row r="125" spans="1:9" ht="25.5" x14ac:dyDescent="0.2">
      <c r="A125" s="7" t="s">
        <v>127</v>
      </c>
      <c r="B125" s="1" t="s">
        <v>10</v>
      </c>
      <c r="C125" s="1" t="s">
        <v>12</v>
      </c>
      <c r="D125" s="1" t="s">
        <v>129</v>
      </c>
      <c r="E125" s="1"/>
      <c r="F125" s="18">
        <f>+F126</f>
        <v>230556.861</v>
      </c>
      <c r="G125" s="18">
        <f>+G126</f>
        <v>230215.62659999999</v>
      </c>
      <c r="H125" s="257">
        <f t="shared" si="1"/>
        <v>99.851995556098402</v>
      </c>
      <c r="I125" s="245"/>
    </row>
    <row r="126" spans="1:9" x14ac:dyDescent="0.2">
      <c r="A126" s="7" t="s">
        <v>131</v>
      </c>
      <c r="B126" s="1" t="s">
        <v>10</v>
      </c>
      <c r="C126" s="1" t="s">
        <v>12</v>
      </c>
      <c r="D126" s="1" t="s">
        <v>129</v>
      </c>
      <c r="E126" s="1"/>
      <c r="F126" s="18">
        <f>+F127</f>
        <v>230556.861</v>
      </c>
      <c r="G126" s="18">
        <f>+G127</f>
        <v>230215.62659999999</v>
      </c>
      <c r="H126" s="257">
        <f t="shared" si="1"/>
        <v>99.851995556098402</v>
      </c>
      <c r="I126" s="245"/>
    </row>
    <row r="127" spans="1:9" ht="25.5" x14ac:dyDescent="0.2">
      <c r="A127" s="7" t="s">
        <v>13</v>
      </c>
      <c r="B127" s="1" t="s">
        <v>10</v>
      </c>
      <c r="C127" s="1" t="s">
        <v>12</v>
      </c>
      <c r="D127" s="1" t="s">
        <v>129</v>
      </c>
      <c r="E127" s="1" t="s">
        <v>14</v>
      </c>
      <c r="F127" s="18">
        <f>+'[1]ведом 3'!G86</f>
        <v>230556.861</v>
      </c>
      <c r="G127" s="18">
        <f>+вед!H85</f>
        <v>230215.62659999999</v>
      </c>
      <c r="H127" s="257">
        <f t="shared" si="1"/>
        <v>99.851995556098402</v>
      </c>
      <c r="I127" s="245"/>
    </row>
    <row r="128" spans="1:9" ht="38.25" x14ac:dyDescent="0.2">
      <c r="A128" s="206" t="s">
        <v>430</v>
      </c>
      <c r="B128" s="1" t="s">
        <v>10</v>
      </c>
      <c r="C128" s="1" t="s">
        <v>12</v>
      </c>
      <c r="D128" s="1" t="s">
        <v>431</v>
      </c>
      <c r="E128" s="1"/>
      <c r="F128" s="18">
        <f>+F129</f>
        <v>6080.6109999999999</v>
      </c>
      <c r="G128" s="18">
        <f>+G129</f>
        <v>5738.1850000000004</v>
      </c>
      <c r="H128" s="257">
        <f t="shared" si="1"/>
        <v>94.368559343789642</v>
      </c>
      <c r="I128" s="245"/>
    </row>
    <row r="129" spans="1:11" ht="25.5" x14ac:dyDescent="0.2">
      <c r="A129" s="7" t="s">
        <v>13</v>
      </c>
      <c r="B129" s="1" t="s">
        <v>10</v>
      </c>
      <c r="C129" s="1" t="s">
        <v>12</v>
      </c>
      <c r="D129" s="1" t="s">
        <v>431</v>
      </c>
      <c r="E129" s="1">
        <v>600</v>
      </c>
      <c r="F129" s="18">
        <f>+'[1]ведом 3'!G90</f>
        <v>6080.6109999999999</v>
      </c>
      <c r="G129" s="18">
        <f>+вед!H89</f>
        <v>5738.1850000000004</v>
      </c>
      <c r="H129" s="257">
        <f t="shared" si="1"/>
        <v>94.368559343789642</v>
      </c>
      <c r="I129" s="245"/>
    </row>
    <row r="130" spans="1:11" ht="38.25" x14ac:dyDescent="0.2">
      <c r="A130" s="206" t="s">
        <v>432</v>
      </c>
      <c r="B130" s="1" t="s">
        <v>10</v>
      </c>
      <c r="C130" s="1" t="s">
        <v>12</v>
      </c>
      <c r="D130" s="1" t="s">
        <v>433</v>
      </c>
      <c r="E130" s="1"/>
      <c r="F130" s="18">
        <f>+F131</f>
        <v>3786.4160000000002</v>
      </c>
      <c r="G130" s="18">
        <f>+G131</f>
        <v>3786.4160000000002</v>
      </c>
      <c r="H130" s="257">
        <f t="shared" si="1"/>
        <v>100</v>
      </c>
      <c r="I130" s="245"/>
    </row>
    <row r="131" spans="1:11" ht="25.5" x14ac:dyDescent="0.2">
      <c r="A131" s="7" t="s">
        <v>13</v>
      </c>
      <c r="B131" s="1" t="s">
        <v>10</v>
      </c>
      <c r="C131" s="1" t="s">
        <v>12</v>
      </c>
      <c r="D131" s="1" t="s">
        <v>433</v>
      </c>
      <c r="E131" s="1">
        <v>600</v>
      </c>
      <c r="F131" s="18">
        <f>+'[1]ведом 3'!G92</f>
        <v>3786.4160000000002</v>
      </c>
      <c r="G131" s="18">
        <f>+вед!H91</f>
        <v>3786.4160000000002</v>
      </c>
      <c r="H131" s="257">
        <f t="shared" si="1"/>
        <v>100</v>
      </c>
      <c r="I131" s="245"/>
    </row>
    <row r="132" spans="1:11" ht="38.25" x14ac:dyDescent="0.2">
      <c r="A132" s="7" t="s">
        <v>197</v>
      </c>
      <c r="B132" s="1" t="s">
        <v>10</v>
      </c>
      <c r="C132" s="1" t="s">
        <v>12</v>
      </c>
      <c r="D132" s="1" t="s">
        <v>198</v>
      </c>
      <c r="E132" s="1"/>
      <c r="F132" s="18">
        <f>+F133</f>
        <v>1717.17</v>
      </c>
      <c r="G132" s="18">
        <f>+G133</f>
        <v>1717.17</v>
      </c>
      <c r="H132" s="257">
        <f t="shared" si="1"/>
        <v>100</v>
      </c>
      <c r="I132" s="245"/>
    </row>
    <row r="133" spans="1:11" ht="25.5" x14ac:dyDescent="0.2">
      <c r="A133" s="7" t="s">
        <v>13</v>
      </c>
      <c r="B133" s="1" t="s">
        <v>10</v>
      </c>
      <c r="C133" s="1" t="s">
        <v>12</v>
      </c>
      <c r="D133" s="1" t="s">
        <v>198</v>
      </c>
      <c r="E133" s="1">
        <v>600</v>
      </c>
      <c r="F133" s="18">
        <f>+'[1]ведом 3'!G88</f>
        <v>1717.17</v>
      </c>
      <c r="G133" s="18">
        <f>+вед!H87</f>
        <v>1717.17</v>
      </c>
      <c r="H133" s="257">
        <f t="shared" si="1"/>
        <v>100</v>
      </c>
      <c r="I133" s="245"/>
    </row>
    <row r="134" spans="1:11" x14ac:dyDescent="0.2">
      <c r="A134" s="19" t="s">
        <v>200</v>
      </c>
      <c r="B134" s="1" t="s">
        <v>10</v>
      </c>
      <c r="C134" s="3" t="s">
        <v>98</v>
      </c>
      <c r="D134" s="1"/>
      <c r="E134" s="1"/>
      <c r="F134" s="18">
        <f>+F135+F138</f>
        <v>36027.538999999997</v>
      </c>
      <c r="G134" s="18">
        <f>+G135+G138</f>
        <v>35348.434979999998</v>
      </c>
      <c r="H134" s="257">
        <f t="shared" si="1"/>
        <v>98.115041885042444</v>
      </c>
      <c r="I134" s="245"/>
    </row>
    <row r="135" spans="1:11" x14ac:dyDescent="0.2">
      <c r="A135" s="7" t="s">
        <v>130</v>
      </c>
      <c r="B135" s="1" t="s">
        <v>10</v>
      </c>
      <c r="C135" s="3" t="s">
        <v>98</v>
      </c>
      <c r="D135" s="1" t="s">
        <v>58</v>
      </c>
      <c r="E135" s="1"/>
      <c r="F135" s="18">
        <f>+F136</f>
        <v>26257.455999999998</v>
      </c>
      <c r="G135" s="18">
        <f>+G136</f>
        <v>25759.23619</v>
      </c>
      <c r="H135" s="257">
        <f t="shared" si="1"/>
        <v>98.102558717036416</v>
      </c>
      <c r="I135" s="245"/>
    </row>
    <row r="136" spans="1:11" x14ac:dyDescent="0.2">
      <c r="A136" s="7" t="s">
        <v>86</v>
      </c>
      <c r="B136" s="1" t="s">
        <v>10</v>
      </c>
      <c r="C136" s="3" t="s">
        <v>98</v>
      </c>
      <c r="D136" s="1" t="s">
        <v>58</v>
      </c>
      <c r="E136" s="1"/>
      <c r="F136" s="18">
        <f>+F137</f>
        <v>26257.455999999998</v>
      </c>
      <c r="G136" s="18">
        <f>+G137</f>
        <v>25759.23619</v>
      </c>
      <c r="H136" s="257">
        <f t="shared" si="1"/>
        <v>98.102558717036416</v>
      </c>
      <c r="I136" s="245"/>
    </row>
    <row r="137" spans="1:11" ht="25.5" x14ac:dyDescent="0.2">
      <c r="A137" s="7" t="s">
        <v>13</v>
      </c>
      <c r="B137" s="1" t="s">
        <v>10</v>
      </c>
      <c r="C137" s="3" t="s">
        <v>98</v>
      </c>
      <c r="D137" s="1" t="s">
        <v>58</v>
      </c>
      <c r="E137" s="1" t="s">
        <v>14</v>
      </c>
      <c r="F137" s="18">
        <f>+'[1]ведом 3'!G96</f>
        <v>26257.455999999998</v>
      </c>
      <c r="G137" s="18">
        <f>+вед!H95</f>
        <v>25759.23619</v>
      </c>
      <c r="H137" s="257">
        <f t="shared" si="1"/>
        <v>98.102558717036416</v>
      </c>
      <c r="I137" s="245"/>
    </row>
    <row r="138" spans="1:11" s="252" customFormat="1" x14ac:dyDescent="0.2">
      <c r="A138" s="7" t="s">
        <v>11</v>
      </c>
      <c r="B138" s="1" t="s">
        <v>10</v>
      </c>
      <c r="C138" s="3" t="s">
        <v>98</v>
      </c>
      <c r="D138" s="1" t="s">
        <v>59</v>
      </c>
      <c r="E138" s="1"/>
      <c r="F138" s="18">
        <f t="shared" ref="F138:G140" si="3">+F139</f>
        <v>9770.0830000000005</v>
      </c>
      <c r="G138" s="18">
        <f t="shared" si="3"/>
        <v>9589.1987900000004</v>
      </c>
      <c r="H138" s="257">
        <f t="shared" si="1"/>
        <v>98.148590856392929</v>
      </c>
      <c r="I138" s="1"/>
      <c r="J138" s="1"/>
      <c r="K138" s="1"/>
    </row>
    <row r="139" spans="1:11" s="252" customFormat="1" ht="25.5" x14ac:dyDescent="0.2">
      <c r="A139" s="7" t="s">
        <v>203</v>
      </c>
      <c r="B139" s="1" t="s">
        <v>10</v>
      </c>
      <c r="C139" s="3" t="s">
        <v>98</v>
      </c>
      <c r="D139" s="1" t="s">
        <v>58</v>
      </c>
      <c r="E139" s="1"/>
      <c r="F139" s="18">
        <f t="shared" si="3"/>
        <v>9770.0830000000005</v>
      </c>
      <c r="G139" s="18">
        <f t="shared" si="3"/>
        <v>9589.1987900000004</v>
      </c>
      <c r="H139" s="257">
        <f t="shared" si="1"/>
        <v>98.148590856392929</v>
      </c>
      <c r="I139" s="1"/>
      <c r="J139" s="1"/>
      <c r="K139" s="1"/>
    </row>
    <row r="140" spans="1:11" s="252" customFormat="1" x14ac:dyDescent="0.2">
      <c r="A140" s="7" t="s">
        <v>31</v>
      </c>
      <c r="B140" s="1" t="s">
        <v>10</v>
      </c>
      <c r="C140" s="3" t="s">
        <v>98</v>
      </c>
      <c r="D140" s="1" t="s">
        <v>58</v>
      </c>
      <c r="E140" s="1"/>
      <c r="F140" s="18">
        <f t="shared" si="3"/>
        <v>9770.0830000000005</v>
      </c>
      <c r="G140" s="18">
        <f t="shared" si="3"/>
        <v>9589.1987900000004</v>
      </c>
      <c r="H140" s="257">
        <f t="shared" ref="H140:H203" si="4">+G140/F140*100</f>
        <v>98.148590856392929</v>
      </c>
      <c r="I140" s="1"/>
      <c r="J140" s="1"/>
      <c r="K140" s="1"/>
    </row>
    <row r="141" spans="1:11" ht="25.5" x14ac:dyDescent="0.2">
      <c r="A141" s="11" t="s">
        <v>13</v>
      </c>
      <c r="B141" s="1" t="s">
        <v>10</v>
      </c>
      <c r="C141" s="3" t="s">
        <v>98</v>
      </c>
      <c r="D141" s="1" t="s">
        <v>58</v>
      </c>
      <c r="E141" s="1">
        <v>600</v>
      </c>
      <c r="F141" s="18">
        <f>+'[1]ведом 3'!G17</f>
        <v>9770.0830000000005</v>
      </c>
      <c r="G141" s="18">
        <f>+вед!H16</f>
        <v>9589.1987900000004</v>
      </c>
      <c r="H141" s="257">
        <f t="shared" si="4"/>
        <v>98.148590856392929</v>
      </c>
      <c r="I141" s="245"/>
    </row>
    <row r="142" spans="1:11" x14ac:dyDescent="0.2">
      <c r="A142" s="7" t="s">
        <v>43</v>
      </c>
      <c r="B142" s="1" t="s">
        <v>10</v>
      </c>
      <c r="C142" s="3" t="s">
        <v>10</v>
      </c>
      <c r="D142" s="1" t="s">
        <v>120</v>
      </c>
      <c r="E142" s="1"/>
      <c r="F142" s="18">
        <f>+F143</f>
        <v>248</v>
      </c>
      <c r="G142" s="18">
        <f>+G143</f>
        <v>248</v>
      </c>
      <c r="H142" s="257">
        <f t="shared" si="4"/>
        <v>100</v>
      </c>
      <c r="I142" s="245"/>
    </row>
    <row r="143" spans="1:11" x14ac:dyDescent="0.2">
      <c r="A143" s="7" t="s">
        <v>88</v>
      </c>
      <c r="B143" s="1" t="s">
        <v>10</v>
      </c>
      <c r="C143" s="3" t="s">
        <v>10</v>
      </c>
      <c r="D143" s="1" t="s">
        <v>89</v>
      </c>
      <c r="E143" s="1"/>
      <c r="F143" s="18">
        <f>+F144</f>
        <v>248</v>
      </c>
      <c r="G143" s="18">
        <f>+G144</f>
        <v>248</v>
      </c>
      <c r="H143" s="257">
        <f t="shared" si="4"/>
        <v>100</v>
      </c>
      <c r="I143" s="245"/>
    </row>
    <row r="144" spans="1:11" ht="25.5" x14ac:dyDescent="0.2">
      <c r="A144" s="7" t="s">
        <v>127</v>
      </c>
      <c r="B144" s="1" t="s">
        <v>10</v>
      </c>
      <c r="C144" s="3" t="s">
        <v>10</v>
      </c>
      <c r="D144" s="1" t="s">
        <v>89</v>
      </c>
      <c r="E144" s="1"/>
      <c r="F144" s="18">
        <f>+F145+F146</f>
        <v>248</v>
      </c>
      <c r="G144" s="18">
        <f>+вед!H100</f>
        <v>248</v>
      </c>
      <c r="H144" s="257">
        <f t="shared" si="4"/>
        <v>100</v>
      </c>
      <c r="I144" s="245"/>
    </row>
    <row r="145" spans="1:9" ht="25.5" x14ac:dyDescent="0.2">
      <c r="A145" s="7" t="s">
        <v>13</v>
      </c>
      <c r="B145" s="1" t="s">
        <v>10</v>
      </c>
      <c r="C145" s="3" t="s">
        <v>10</v>
      </c>
      <c r="D145" s="1" t="s">
        <v>89</v>
      </c>
      <c r="E145" s="1">
        <v>600</v>
      </c>
      <c r="F145" s="18">
        <f>+'[1]ведом 3'!G100</f>
        <v>0</v>
      </c>
      <c r="G145" s="18">
        <f>+'[1]ведом 3'!H100</f>
        <v>0</v>
      </c>
      <c r="H145" s="257" t="e">
        <f t="shared" si="4"/>
        <v>#DIV/0!</v>
      </c>
      <c r="I145" s="245"/>
    </row>
    <row r="146" spans="1:9" ht="25.5" x14ac:dyDescent="0.2">
      <c r="A146" s="7" t="s">
        <v>13</v>
      </c>
      <c r="B146" s="1" t="s">
        <v>10</v>
      </c>
      <c r="C146" s="3" t="s">
        <v>10</v>
      </c>
      <c r="D146" s="1" t="s">
        <v>184</v>
      </c>
      <c r="E146" s="1">
        <v>600</v>
      </c>
      <c r="F146" s="18">
        <f>+'[1]ведом 3'!G101</f>
        <v>248</v>
      </c>
      <c r="G146" s="18">
        <v>248</v>
      </c>
      <c r="H146" s="257">
        <f t="shared" si="4"/>
        <v>100</v>
      </c>
      <c r="I146" s="245"/>
    </row>
    <row r="147" spans="1:9" x14ac:dyDescent="0.2">
      <c r="A147" s="7" t="s">
        <v>44</v>
      </c>
      <c r="B147" s="1" t="s">
        <v>10</v>
      </c>
      <c r="C147" s="3" t="s">
        <v>102</v>
      </c>
      <c r="D147" s="1"/>
      <c r="E147" s="1"/>
      <c r="F147" s="18">
        <f>+F148+F151+F153+157:157+F159+F161+F163+F167</f>
        <v>21562.365000000002</v>
      </c>
      <c r="G147" s="18">
        <f>+G148+G151+G153+157:157+G159+G161+G163+G167</f>
        <v>21228.351599999998</v>
      </c>
      <c r="H147" s="257">
        <f t="shared" si="4"/>
        <v>98.450942649380053</v>
      </c>
      <c r="I147" s="245"/>
    </row>
    <row r="148" spans="1:9" x14ac:dyDescent="0.2">
      <c r="A148" s="48" t="s">
        <v>158</v>
      </c>
      <c r="B148" s="17" t="s">
        <v>10</v>
      </c>
      <c r="C148" s="26" t="s">
        <v>102</v>
      </c>
      <c r="D148" s="17" t="s">
        <v>87</v>
      </c>
      <c r="E148" s="48"/>
      <c r="F148" s="50">
        <f>+F149+F150</f>
        <v>465.26299999999998</v>
      </c>
      <c r="G148" s="50">
        <f>+G149+G150</f>
        <v>465.26299999999998</v>
      </c>
      <c r="H148" s="257">
        <f t="shared" si="4"/>
        <v>100</v>
      </c>
      <c r="I148" s="245"/>
    </row>
    <row r="149" spans="1:9" ht="38.25" x14ac:dyDescent="0.2">
      <c r="A149" s="16" t="s">
        <v>21</v>
      </c>
      <c r="B149" s="17" t="s">
        <v>10</v>
      </c>
      <c r="C149" s="26" t="s">
        <v>102</v>
      </c>
      <c r="D149" s="17" t="s">
        <v>87</v>
      </c>
      <c r="E149" s="17">
        <v>100</v>
      </c>
      <c r="F149" s="18">
        <f>+'[1]ведом 3'!G276</f>
        <v>383.78499999999997</v>
      </c>
      <c r="G149" s="18">
        <f>+вед!H275</f>
        <v>383.78499999999997</v>
      </c>
      <c r="H149" s="257">
        <f t="shared" si="4"/>
        <v>100</v>
      </c>
      <c r="I149" s="245"/>
    </row>
    <row r="150" spans="1:9" ht="25.5" x14ac:dyDescent="0.2">
      <c r="A150" s="16" t="s">
        <v>66</v>
      </c>
      <c r="B150" s="17" t="s">
        <v>10</v>
      </c>
      <c r="C150" s="26" t="s">
        <v>102</v>
      </c>
      <c r="D150" s="17" t="s">
        <v>87</v>
      </c>
      <c r="E150" s="17" t="s">
        <v>16</v>
      </c>
      <c r="F150" s="18">
        <f>+'[1]ведом 3'!G277</f>
        <v>81.477999999999994</v>
      </c>
      <c r="G150" s="18">
        <f>+вед!H276</f>
        <v>81.477999999999994</v>
      </c>
      <c r="H150" s="257">
        <f t="shared" si="4"/>
        <v>100</v>
      </c>
      <c r="I150" s="245"/>
    </row>
    <row r="151" spans="1:9" x14ac:dyDescent="0.2">
      <c r="A151" s="7" t="s">
        <v>512</v>
      </c>
      <c r="B151" s="1" t="s">
        <v>10</v>
      </c>
      <c r="C151" s="3" t="s">
        <v>102</v>
      </c>
      <c r="D151" s="1" t="s">
        <v>134</v>
      </c>
      <c r="E151" s="1"/>
      <c r="F151" s="18">
        <f>+F152</f>
        <v>24.14</v>
      </c>
      <c r="G151" s="18">
        <f>+G152</f>
        <v>24.14</v>
      </c>
      <c r="H151" s="257">
        <f t="shared" si="4"/>
        <v>100</v>
      </c>
      <c r="I151" s="245"/>
    </row>
    <row r="152" spans="1:9" ht="25.5" x14ac:dyDescent="0.2">
      <c r="A152" s="16" t="s">
        <v>66</v>
      </c>
      <c r="B152" s="1" t="s">
        <v>10</v>
      </c>
      <c r="C152" s="3" t="s">
        <v>102</v>
      </c>
      <c r="D152" s="1" t="s">
        <v>134</v>
      </c>
      <c r="E152" s="1">
        <v>200</v>
      </c>
      <c r="F152" s="18">
        <f>+'[1]ведом 3'!G105</f>
        <v>24.14</v>
      </c>
      <c r="G152" s="18">
        <f>+вед!H104</f>
        <v>24.14</v>
      </c>
      <c r="H152" s="257">
        <f t="shared" si="4"/>
        <v>100</v>
      </c>
      <c r="I152" s="245"/>
    </row>
    <row r="153" spans="1:9" x14ac:dyDescent="0.2">
      <c r="A153" s="16" t="s">
        <v>513</v>
      </c>
      <c r="B153" s="17" t="s">
        <v>10</v>
      </c>
      <c r="C153" s="17" t="s">
        <v>102</v>
      </c>
      <c r="D153" s="17" t="s">
        <v>172</v>
      </c>
      <c r="E153" s="17" t="s">
        <v>8</v>
      </c>
      <c r="F153" s="18">
        <f t="shared" ref="F153:G155" si="5">+F154</f>
        <v>586.95000000000005</v>
      </c>
      <c r="G153" s="18">
        <f t="shared" si="5"/>
        <v>586.95000000000005</v>
      </c>
      <c r="H153" s="257">
        <f t="shared" si="4"/>
        <v>100</v>
      </c>
      <c r="I153" s="245"/>
    </row>
    <row r="154" spans="1:9" x14ac:dyDescent="0.2">
      <c r="A154" s="16" t="s">
        <v>92</v>
      </c>
      <c r="B154" s="17" t="s">
        <v>10</v>
      </c>
      <c r="C154" s="17" t="s">
        <v>102</v>
      </c>
      <c r="D154" s="17" t="s">
        <v>172</v>
      </c>
      <c r="E154" s="17" t="s">
        <v>8</v>
      </c>
      <c r="F154" s="18">
        <f t="shared" si="5"/>
        <v>586.95000000000005</v>
      </c>
      <c r="G154" s="18">
        <f t="shared" si="5"/>
        <v>586.95000000000005</v>
      </c>
      <c r="H154" s="257">
        <f t="shared" si="4"/>
        <v>100</v>
      </c>
      <c r="I154" s="245"/>
    </row>
    <row r="155" spans="1:9" x14ac:dyDescent="0.2">
      <c r="A155" s="16" t="s">
        <v>92</v>
      </c>
      <c r="B155" s="17" t="s">
        <v>10</v>
      </c>
      <c r="C155" s="17" t="s">
        <v>102</v>
      </c>
      <c r="D155" s="17" t="s">
        <v>168</v>
      </c>
      <c r="E155" s="17" t="s">
        <v>8</v>
      </c>
      <c r="F155" s="18">
        <f t="shared" si="5"/>
        <v>586.95000000000005</v>
      </c>
      <c r="G155" s="18">
        <f t="shared" si="5"/>
        <v>586.95000000000005</v>
      </c>
      <c r="H155" s="257">
        <f t="shared" si="4"/>
        <v>100</v>
      </c>
      <c r="I155" s="245"/>
    </row>
    <row r="156" spans="1:9" ht="25.5" x14ac:dyDescent="0.2">
      <c r="A156" s="16" t="s">
        <v>66</v>
      </c>
      <c r="B156" s="17" t="s">
        <v>10</v>
      </c>
      <c r="C156" s="17" t="s">
        <v>102</v>
      </c>
      <c r="D156" s="17" t="s">
        <v>168</v>
      </c>
      <c r="E156" s="17" t="s">
        <v>16</v>
      </c>
      <c r="F156" s="18">
        <f>+'[1]ведом 3'!G109</f>
        <v>586.95000000000005</v>
      </c>
      <c r="G156" s="18">
        <f>+вед!H108</f>
        <v>586.95000000000005</v>
      </c>
      <c r="H156" s="257">
        <f t="shared" si="4"/>
        <v>100</v>
      </c>
      <c r="I156" s="245"/>
    </row>
    <row r="157" spans="1:9" x14ac:dyDescent="0.2">
      <c r="A157" s="16" t="s">
        <v>514</v>
      </c>
      <c r="B157" s="17" t="s">
        <v>10</v>
      </c>
      <c r="C157" s="17" t="s">
        <v>102</v>
      </c>
      <c r="D157" s="17" t="s">
        <v>437</v>
      </c>
      <c r="E157" s="17"/>
      <c r="F157" s="18">
        <f>+F158</f>
        <v>97.72</v>
      </c>
      <c r="G157" s="18">
        <f>+G158</f>
        <v>97.72</v>
      </c>
      <c r="H157" s="257">
        <f t="shared" si="4"/>
        <v>100</v>
      </c>
      <c r="I157" s="245"/>
    </row>
    <row r="158" spans="1:9" ht="25.5" x14ac:dyDescent="0.2">
      <c r="A158" s="16" t="s">
        <v>66</v>
      </c>
      <c r="B158" s="17" t="s">
        <v>10</v>
      </c>
      <c r="C158" s="17" t="s">
        <v>102</v>
      </c>
      <c r="D158" s="17" t="s">
        <v>437</v>
      </c>
      <c r="E158" s="17">
        <v>200</v>
      </c>
      <c r="F158" s="18">
        <f>+'[1]ведом 3'!G111</f>
        <v>97.72</v>
      </c>
      <c r="G158" s="18">
        <f>+вед!H110</f>
        <v>97.72</v>
      </c>
      <c r="H158" s="257">
        <f t="shared" si="4"/>
        <v>100</v>
      </c>
      <c r="I158" s="245"/>
    </row>
    <row r="159" spans="1:9" x14ac:dyDescent="0.2">
      <c r="A159" s="28" t="s">
        <v>491</v>
      </c>
      <c r="B159" s="1" t="s">
        <v>10</v>
      </c>
      <c r="C159" s="3" t="s">
        <v>102</v>
      </c>
      <c r="D159" s="1" t="s">
        <v>178</v>
      </c>
      <c r="E159" s="1"/>
      <c r="F159" s="18">
        <f>+F160</f>
        <v>43</v>
      </c>
      <c r="G159" s="18">
        <f>+G160</f>
        <v>43</v>
      </c>
      <c r="H159" s="257">
        <f t="shared" si="4"/>
        <v>100</v>
      </c>
      <c r="I159" s="245"/>
    </row>
    <row r="160" spans="1:9" ht="25.5" x14ac:dyDescent="0.2">
      <c r="A160" s="206" t="s">
        <v>66</v>
      </c>
      <c r="B160" s="1" t="s">
        <v>10</v>
      </c>
      <c r="C160" s="3" t="s">
        <v>102</v>
      </c>
      <c r="D160" s="1" t="s">
        <v>178</v>
      </c>
      <c r="E160" s="1">
        <v>200</v>
      </c>
      <c r="F160" s="18">
        <f>+'[1]ведом 3'!G280</f>
        <v>43</v>
      </c>
      <c r="G160" s="18">
        <f>+вед!H279</f>
        <v>43</v>
      </c>
      <c r="H160" s="257">
        <f t="shared" si="4"/>
        <v>100</v>
      </c>
      <c r="I160" s="245"/>
    </row>
    <row r="161" spans="1:9" ht="48" x14ac:dyDescent="0.2">
      <c r="A161" s="209" t="s">
        <v>492</v>
      </c>
      <c r="B161" s="225" t="s">
        <v>10</v>
      </c>
      <c r="C161" s="225" t="s">
        <v>102</v>
      </c>
      <c r="D161" s="30" t="s">
        <v>493</v>
      </c>
      <c r="E161" s="17"/>
      <c r="F161" s="18">
        <f>+F162</f>
        <v>40.33</v>
      </c>
      <c r="G161" s="18">
        <f>+G162</f>
        <v>40.33</v>
      </c>
      <c r="H161" s="257">
        <f t="shared" si="4"/>
        <v>100</v>
      </c>
      <c r="I161" s="245"/>
    </row>
    <row r="162" spans="1:9" x14ac:dyDescent="0.2">
      <c r="A162" s="210" t="s">
        <v>69</v>
      </c>
      <c r="B162" s="225" t="s">
        <v>10</v>
      </c>
      <c r="C162" s="225" t="s">
        <v>102</v>
      </c>
      <c r="D162" s="30" t="s">
        <v>493</v>
      </c>
      <c r="E162" s="17">
        <v>200</v>
      </c>
      <c r="F162" s="18">
        <f>+'[1]ведом 3'!G282</f>
        <v>40.33</v>
      </c>
      <c r="G162" s="18">
        <f>+вед!H281</f>
        <v>40.33</v>
      </c>
      <c r="H162" s="257">
        <f t="shared" si="4"/>
        <v>100</v>
      </c>
      <c r="I162" s="245"/>
    </row>
    <row r="163" spans="1:9" ht="38.25" x14ac:dyDescent="0.2">
      <c r="A163" s="7" t="s">
        <v>90</v>
      </c>
      <c r="B163" s="1" t="s">
        <v>10</v>
      </c>
      <c r="C163" s="3" t="s">
        <v>102</v>
      </c>
      <c r="D163" s="1" t="s">
        <v>133</v>
      </c>
      <c r="E163" s="1" t="s">
        <v>8</v>
      </c>
      <c r="F163" s="18">
        <f>+F164+F165+F166</f>
        <v>19060.744000000002</v>
      </c>
      <c r="G163" s="18">
        <f>+G164+G165+G166</f>
        <v>18744.5016</v>
      </c>
      <c r="H163" s="257">
        <f t="shared" si="4"/>
        <v>98.340870639677007</v>
      </c>
      <c r="I163" s="245"/>
    </row>
    <row r="164" spans="1:9" ht="38.25" x14ac:dyDescent="0.2">
      <c r="A164" s="7" t="s">
        <v>21</v>
      </c>
      <c r="B164" s="1" t="s">
        <v>10</v>
      </c>
      <c r="C164" s="3" t="s">
        <v>102</v>
      </c>
      <c r="D164" s="1" t="s">
        <v>133</v>
      </c>
      <c r="E164" s="1" t="s">
        <v>22</v>
      </c>
      <c r="F164" s="18">
        <f>+'[1]ведом 3'!G113</f>
        <v>17990.400000000001</v>
      </c>
      <c r="G164" s="18">
        <f>+вед!H112</f>
        <v>17687.035</v>
      </c>
      <c r="H164" s="257">
        <f t="shared" si="4"/>
        <v>98.313739549982202</v>
      </c>
      <c r="I164" s="245"/>
    </row>
    <row r="165" spans="1:9" ht="25.5" x14ac:dyDescent="0.2">
      <c r="A165" s="7" t="s">
        <v>66</v>
      </c>
      <c r="B165" s="1" t="s">
        <v>10</v>
      </c>
      <c r="C165" s="3" t="s">
        <v>102</v>
      </c>
      <c r="D165" s="1" t="s">
        <v>133</v>
      </c>
      <c r="E165" s="1" t="s">
        <v>16</v>
      </c>
      <c r="F165" s="18">
        <f>+'[1]ведом 3'!G114</f>
        <v>1033.9649999999999</v>
      </c>
      <c r="G165" s="18">
        <f>+вед!H113</f>
        <v>1021.0886</v>
      </c>
      <c r="H165" s="257">
        <f t="shared" si="4"/>
        <v>98.754658039682212</v>
      </c>
      <c r="I165" s="245"/>
    </row>
    <row r="166" spans="1:9" x14ac:dyDescent="0.2">
      <c r="A166" s="7" t="s">
        <v>24</v>
      </c>
      <c r="B166" s="1" t="s">
        <v>10</v>
      </c>
      <c r="C166" s="3" t="s">
        <v>102</v>
      </c>
      <c r="D166" s="1" t="s">
        <v>133</v>
      </c>
      <c r="E166" s="1" t="s">
        <v>25</v>
      </c>
      <c r="F166" s="18">
        <f>+'[1]ведом 3'!G115</f>
        <v>36.378999999999998</v>
      </c>
      <c r="G166" s="18">
        <f>+вед!H114</f>
        <v>36.378</v>
      </c>
      <c r="H166" s="257">
        <f t="shared" si="4"/>
        <v>99.997251161384327</v>
      </c>
      <c r="I166" s="245"/>
    </row>
    <row r="167" spans="1:9" x14ac:dyDescent="0.2">
      <c r="A167" s="7" t="s">
        <v>143</v>
      </c>
      <c r="B167" s="1" t="s">
        <v>10</v>
      </c>
      <c r="C167" s="3" t="s">
        <v>102</v>
      </c>
      <c r="D167" s="1" t="s">
        <v>71</v>
      </c>
      <c r="E167" s="1"/>
      <c r="F167" s="18">
        <f>+F168</f>
        <v>1244.2180000000001</v>
      </c>
      <c r="G167" s="18">
        <f>+G168</f>
        <v>1226.4470000000001</v>
      </c>
      <c r="H167" s="257">
        <f t="shared" si="4"/>
        <v>98.571713317119674</v>
      </c>
      <c r="I167" s="245"/>
    </row>
    <row r="168" spans="1:9" ht="38.25" x14ac:dyDescent="0.2">
      <c r="A168" s="7" t="s">
        <v>21</v>
      </c>
      <c r="B168" s="1" t="s">
        <v>10</v>
      </c>
      <c r="C168" s="3" t="s">
        <v>102</v>
      </c>
      <c r="D168" s="1" t="s">
        <v>71</v>
      </c>
      <c r="E168" s="1">
        <v>100</v>
      </c>
      <c r="F168" s="18">
        <f>+'[1]ведом 3'!G117</f>
        <v>1244.2180000000001</v>
      </c>
      <c r="G168" s="18">
        <f>+вед!H116</f>
        <v>1226.4470000000001</v>
      </c>
      <c r="H168" s="257">
        <f t="shared" si="4"/>
        <v>98.571713317119674</v>
      </c>
      <c r="I168" s="245"/>
    </row>
    <row r="169" spans="1:9" s="248" customFormat="1" x14ac:dyDescent="0.2">
      <c r="A169" s="10" t="s">
        <v>26</v>
      </c>
      <c r="B169" s="188" t="s">
        <v>27</v>
      </c>
      <c r="C169" s="188" t="s">
        <v>6</v>
      </c>
      <c r="D169" s="188" t="s">
        <v>7</v>
      </c>
      <c r="E169" s="188"/>
      <c r="F169" s="21">
        <f>+F170+F185</f>
        <v>64567.628550000001</v>
      </c>
      <c r="G169" s="21">
        <f>+G170+G185</f>
        <v>60163.204029999994</v>
      </c>
      <c r="H169" s="257">
        <f t="shared" si="4"/>
        <v>93.178587135828749</v>
      </c>
      <c r="I169" s="249"/>
    </row>
    <row r="170" spans="1:9" x14ac:dyDescent="0.2">
      <c r="A170" s="7" t="s">
        <v>195</v>
      </c>
      <c r="B170" s="1" t="s">
        <v>27</v>
      </c>
      <c r="C170" s="1" t="s">
        <v>23</v>
      </c>
      <c r="D170" s="1" t="s">
        <v>515</v>
      </c>
      <c r="E170" s="1"/>
      <c r="F170" s="18">
        <f>+F171+F173+F175+F178+F181+F183</f>
        <v>61671.574619999999</v>
      </c>
      <c r="G170" s="18">
        <f>+G171+G173+G175+G178+G181+G183</f>
        <v>57708.587999999996</v>
      </c>
      <c r="H170" s="257">
        <f t="shared" si="4"/>
        <v>93.574046642365431</v>
      </c>
      <c r="I170" s="245"/>
    </row>
    <row r="171" spans="1:9" x14ac:dyDescent="0.2">
      <c r="A171" s="7" t="s">
        <v>189</v>
      </c>
      <c r="B171" s="1" t="s">
        <v>27</v>
      </c>
      <c r="C171" s="1" t="s">
        <v>23</v>
      </c>
      <c r="D171" s="1" t="s">
        <v>60</v>
      </c>
      <c r="E171" s="1"/>
      <c r="F171" s="18">
        <f>+F172</f>
        <v>9934.2109999999993</v>
      </c>
      <c r="G171" s="18">
        <f>+G172</f>
        <v>9834.20874</v>
      </c>
      <c r="H171" s="257">
        <f t="shared" si="4"/>
        <v>98.993354781773817</v>
      </c>
      <c r="I171" s="245"/>
    </row>
    <row r="172" spans="1:9" ht="25.5" x14ac:dyDescent="0.2">
      <c r="A172" s="7" t="s">
        <v>13</v>
      </c>
      <c r="B172" s="1" t="s">
        <v>27</v>
      </c>
      <c r="C172" s="1" t="s">
        <v>23</v>
      </c>
      <c r="D172" s="1" t="s">
        <v>60</v>
      </c>
      <c r="E172" s="1">
        <v>600</v>
      </c>
      <c r="F172" s="18">
        <f>+'[1]ведом 3'!G21</f>
        <v>9934.2109999999993</v>
      </c>
      <c r="G172" s="18">
        <f>+вед!H20</f>
        <v>9834.20874</v>
      </c>
      <c r="H172" s="257">
        <f t="shared" si="4"/>
        <v>98.993354781773817</v>
      </c>
      <c r="I172" s="245"/>
    </row>
    <row r="173" spans="1:9" ht="25.5" x14ac:dyDescent="0.2">
      <c r="A173" s="7" t="s">
        <v>188</v>
      </c>
      <c r="B173" s="1" t="s">
        <v>27</v>
      </c>
      <c r="C173" s="1" t="s">
        <v>23</v>
      </c>
      <c r="D173" s="1" t="s">
        <v>62</v>
      </c>
      <c r="E173" s="1"/>
      <c r="F173" s="18">
        <f>+F174</f>
        <v>18488.068220000001</v>
      </c>
      <c r="G173" s="18">
        <f>+G174</f>
        <v>17526.008030000001</v>
      </c>
      <c r="H173" s="257">
        <f t="shared" si="4"/>
        <v>94.7963184765877</v>
      </c>
      <c r="I173" s="245"/>
    </row>
    <row r="174" spans="1:9" ht="25.5" x14ac:dyDescent="0.2">
      <c r="A174" s="7" t="s">
        <v>13</v>
      </c>
      <c r="B174" s="1" t="s">
        <v>27</v>
      </c>
      <c r="C174" s="1" t="s">
        <v>23</v>
      </c>
      <c r="D174" s="1" t="s">
        <v>62</v>
      </c>
      <c r="E174" s="1">
        <v>600</v>
      </c>
      <c r="F174" s="18">
        <f>+'[1]ведом 3'!G23</f>
        <v>18488.068220000001</v>
      </c>
      <c r="G174" s="18">
        <f>+вед!H22</f>
        <v>17526.008030000001</v>
      </c>
      <c r="H174" s="257">
        <f t="shared" si="4"/>
        <v>94.7963184765877</v>
      </c>
      <c r="I174" s="245"/>
    </row>
    <row r="175" spans="1:9" ht="25.5" x14ac:dyDescent="0.2">
      <c r="A175" s="7" t="s">
        <v>204</v>
      </c>
      <c r="B175" s="1" t="s">
        <v>27</v>
      </c>
      <c r="C175" s="1" t="s">
        <v>23</v>
      </c>
      <c r="D175" s="1" t="s">
        <v>170</v>
      </c>
      <c r="E175" s="1"/>
      <c r="F175" s="18">
        <f>+F176+F177</f>
        <v>1171.115</v>
      </c>
      <c r="G175" s="18">
        <f>+G176+G177</f>
        <v>1171.1142299999999</v>
      </c>
      <c r="H175" s="257">
        <f t="shared" si="4"/>
        <v>99.999934250692718</v>
      </c>
      <c r="I175" s="245"/>
    </row>
    <row r="176" spans="1:9" ht="25.5" x14ac:dyDescent="0.2">
      <c r="A176" s="206" t="s">
        <v>13</v>
      </c>
      <c r="B176" s="1" t="s">
        <v>27</v>
      </c>
      <c r="C176" s="1" t="s">
        <v>23</v>
      </c>
      <c r="D176" s="1" t="s">
        <v>170</v>
      </c>
      <c r="E176" s="1">
        <v>600</v>
      </c>
      <c r="F176" s="18">
        <f>+'[1]ведом 3'!G27</f>
        <v>945.37300000000005</v>
      </c>
      <c r="G176" s="18">
        <f>+вед!H26</f>
        <v>945.37222999999994</v>
      </c>
      <c r="H176" s="257">
        <f t="shared" si="4"/>
        <v>99.999918550667289</v>
      </c>
      <c r="I176" s="245"/>
    </row>
    <row r="177" spans="1:9" x14ac:dyDescent="0.2">
      <c r="A177" s="7" t="s">
        <v>15</v>
      </c>
      <c r="B177" s="1" t="s">
        <v>27</v>
      </c>
      <c r="C177" s="1" t="s">
        <v>23</v>
      </c>
      <c r="D177" s="1" t="s">
        <v>170</v>
      </c>
      <c r="E177" s="1">
        <v>200</v>
      </c>
      <c r="F177" s="18">
        <f>+'[1]ведом 3'!G29</f>
        <v>225.74199999999999</v>
      </c>
      <c r="G177" s="18">
        <f>+вед!H28</f>
        <v>225.74200000000002</v>
      </c>
      <c r="H177" s="257">
        <f t="shared" si="4"/>
        <v>100.00000000000003</v>
      </c>
      <c r="I177" s="245"/>
    </row>
    <row r="178" spans="1:9" ht="25.5" x14ac:dyDescent="0.2">
      <c r="A178" s="7" t="s">
        <v>162</v>
      </c>
      <c r="B178" s="1" t="s">
        <v>27</v>
      </c>
      <c r="C178" s="1" t="s">
        <v>23</v>
      </c>
      <c r="D178" s="1" t="s">
        <v>61</v>
      </c>
      <c r="E178" s="1"/>
      <c r="F178" s="18">
        <f>+F179</f>
        <v>30368.4804</v>
      </c>
      <c r="G178" s="18">
        <f>+G179</f>
        <v>27467.557000000001</v>
      </c>
      <c r="H178" s="257">
        <f t="shared" si="4"/>
        <v>90.447584594980256</v>
      </c>
      <c r="I178" s="245"/>
    </row>
    <row r="179" spans="1:9" x14ac:dyDescent="0.2">
      <c r="A179" s="7" t="s">
        <v>190</v>
      </c>
      <c r="B179" s="1" t="s">
        <v>27</v>
      </c>
      <c r="C179" s="1" t="s">
        <v>23</v>
      </c>
      <c r="D179" s="1" t="s">
        <v>62</v>
      </c>
      <c r="E179" s="1"/>
      <c r="F179" s="18">
        <f>+F180</f>
        <v>30368.4804</v>
      </c>
      <c r="G179" s="18">
        <f>+G180</f>
        <v>27467.557000000001</v>
      </c>
      <c r="H179" s="257">
        <f t="shared" si="4"/>
        <v>90.447584594980256</v>
      </c>
      <c r="I179" s="245"/>
    </row>
    <row r="180" spans="1:9" ht="38.25" x14ac:dyDescent="0.2">
      <c r="A180" s="7" t="s">
        <v>21</v>
      </c>
      <c r="B180" s="1" t="s">
        <v>27</v>
      </c>
      <c r="C180" s="1" t="s">
        <v>23</v>
      </c>
      <c r="D180" s="1" t="s">
        <v>62</v>
      </c>
      <c r="E180" s="1">
        <v>100</v>
      </c>
      <c r="F180" s="18">
        <f>+'[1]ведом 3'!G25</f>
        <v>30368.4804</v>
      </c>
      <c r="G180" s="18">
        <f>+вед!H24</f>
        <v>27467.557000000001</v>
      </c>
      <c r="H180" s="257">
        <f t="shared" si="4"/>
        <v>90.447584594980256</v>
      </c>
      <c r="I180" s="245"/>
    </row>
    <row r="181" spans="1:9" x14ac:dyDescent="0.2">
      <c r="A181" s="29" t="s">
        <v>191</v>
      </c>
      <c r="B181" s="1" t="s">
        <v>27</v>
      </c>
      <c r="C181" s="1" t="s">
        <v>23</v>
      </c>
      <c r="D181" s="1" t="s">
        <v>425</v>
      </c>
      <c r="E181" s="1"/>
      <c r="F181" s="18">
        <f>+F182</f>
        <v>39.700000000000003</v>
      </c>
      <c r="G181" s="18">
        <f>+G182</f>
        <v>39.700000000000003</v>
      </c>
      <c r="H181" s="257">
        <f t="shared" si="4"/>
        <v>100</v>
      </c>
      <c r="I181" s="245"/>
    </row>
    <row r="182" spans="1:9" ht="38.25" x14ac:dyDescent="0.2">
      <c r="A182" s="7" t="s">
        <v>21</v>
      </c>
      <c r="B182" s="1" t="s">
        <v>27</v>
      </c>
      <c r="C182" s="1" t="s">
        <v>23</v>
      </c>
      <c r="D182" s="1" t="s">
        <v>425</v>
      </c>
      <c r="E182" s="1">
        <v>100</v>
      </c>
      <c r="F182" s="18">
        <f>+'[1]ведом 3'!G34</f>
        <v>39.700000000000003</v>
      </c>
      <c r="G182" s="18">
        <f>+вед!H33</f>
        <v>39.700000000000003</v>
      </c>
      <c r="H182" s="257">
        <f t="shared" si="4"/>
        <v>100</v>
      </c>
      <c r="I182" s="245"/>
    </row>
    <row r="183" spans="1:9" ht="25.5" x14ac:dyDescent="0.2">
      <c r="A183" s="206" t="s">
        <v>426</v>
      </c>
      <c r="B183" s="1" t="s">
        <v>27</v>
      </c>
      <c r="C183" s="1" t="s">
        <v>23</v>
      </c>
      <c r="D183" s="1" t="s">
        <v>427</v>
      </c>
      <c r="E183" s="1"/>
      <c r="F183" s="18">
        <f>+F184</f>
        <v>1670</v>
      </c>
      <c r="G183" s="18">
        <f>+G184</f>
        <v>1670</v>
      </c>
      <c r="H183" s="257">
        <f t="shared" si="4"/>
        <v>100</v>
      </c>
      <c r="I183" s="245"/>
    </row>
    <row r="184" spans="1:9" ht="25.5" x14ac:dyDescent="0.2">
      <c r="A184" s="206" t="s">
        <v>13</v>
      </c>
      <c r="B184" s="1" t="s">
        <v>27</v>
      </c>
      <c r="C184" s="1" t="s">
        <v>23</v>
      </c>
      <c r="D184" s="1" t="s">
        <v>427</v>
      </c>
      <c r="E184" s="1">
        <v>600</v>
      </c>
      <c r="F184" s="18">
        <f>+'[1]ведом 3'!G36</f>
        <v>1670</v>
      </c>
      <c r="G184" s="18">
        <f>+вед!H35</f>
        <v>1670</v>
      </c>
      <c r="H184" s="257">
        <f t="shared" si="4"/>
        <v>100</v>
      </c>
      <c r="I184" s="245"/>
    </row>
    <row r="185" spans="1:9" x14ac:dyDescent="0.2">
      <c r="A185" s="7" t="s">
        <v>29</v>
      </c>
      <c r="B185" s="1" t="s">
        <v>27</v>
      </c>
      <c r="C185" s="1" t="s">
        <v>19</v>
      </c>
      <c r="D185" s="1"/>
      <c r="E185" s="1"/>
      <c r="F185" s="18">
        <f>+F186+F190</f>
        <v>2896.05393</v>
      </c>
      <c r="G185" s="18">
        <f>+G186+G190</f>
        <v>2454.6160300000001</v>
      </c>
      <c r="H185" s="257">
        <f t="shared" si="4"/>
        <v>84.757262445040169</v>
      </c>
      <c r="I185" s="245"/>
    </row>
    <row r="186" spans="1:9" x14ac:dyDescent="0.2">
      <c r="A186" s="7" t="s">
        <v>117</v>
      </c>
      <c r="B186" s="1" t="s">
        <v>27</v>
      </c>
      <c r="C186" s="1" t="s">
        <v>19</v>
      </c>
      <c r="D186" s="1" t="s">
        <v>133</v>
      </c>
      <c r="E186" s="1"/>
      <c r="F186" s="18">
        <f>+F187+F188+F189</f>
        <v>2169.3539299999998</v>
      </c>
      <c r="G186" s="18">
        <f>+G187+G188+G189</f>
        <v>1739.04303</v>
      </c>
      <c r="H186" s="257">
        <f t="shared" si="4"/>
        <v>80.164098902939287</v>
      </c>
      <c r="I186" s="245"/>
    </row>
    <row r="187" spans="1:9" ht="38.25" x14ac:dyDescent="0.2">
      <c r="A187" s="7" t="s">
        <v>21</v>
      </c>
      <c r="B187" s="1" t="s">
        <v>27</v>
      </c>
      <c r="C187" s="1" t="s">
        <v>19</v>
      </c>
      <c r="D187" s="1" t="s">
        <v>133</v>
      </c>
      <c r="E187" s="1">
        <v>100</v>
      </c>
      <c r="F187" s="18">
        <f>+'[1]ведом 3'!G39</f>
        <v>957.59199999999998</v>
      </c>
      <c r="G187" s="18">
        <f>+вед!H38</f>
        <v>957.56299999999999</v>
      </c>
      <c r="H187" s="257">
        <f t="shared" si="4"/>
        <v>99.99697157035564</v>
      </c>
      <c r="I187" s="245"/>
    </row>
    <row r="188" spans="1:9" x14ac:dyDescent="0.2">
      <c r="A188" s="7" t="s">
        <v>15</v>
      </c>
      <c r="B188" s="1" t="s">
        <v>27</v>
      </c>
      <c r="C188" s="1" t="s">
        <v>19</v>
      </c>
      <c r="D188" s="1" t="s">
        <v>133</v>
      </c>
      <c r="E188" s="1">
        <v>200</v>
      </c>
      <c r="F188" s="18">
        <f>+'[1]ведом 3'!G40</f>
        <v>1187.40993</v>
      </c>
      <c r="G188" s="18">
        <f>+вед!H39</f>
        <v>757.12802999999997</v>
      </c>
      <c r="H188" s="257">
        <f t="shared" si="4"/>
        <v>63.762986216562965</v>
      </c>
      <c r="I188" s="245"/>
    </row>
    <row r="189" spans="1:9" x14ac:dyDescent="0.2">
      <c r="A189" s="7" t="s">
        <v>24</v>
      </c>
      <c r="B189" s="1" t="s">
        <v>27</v>
      </c>
      <c r="C189" s="1" t="s">
        <v>19</v>
      </c>
      <c r="D189" s="1" t="s">
        <v>133</v>
      </c>
      <c r="E189" s="1">
        <v>800</v>
      </c>
      <c r="F189" s="18">
        <f>+'[1]ведом 3'!G41</f>
        <v>24.352</v>
      </c>
      <c r="G189" s="18">
        <f>+вед!H40</f>
        <v>24.352000000000004</v>
      </c>
      <c r="H189" s="257">
        <f t="shared" si="4"/>
        <v>100.00000000000003</v>
      </c>
      <c r="I189" s="245"/>
    </row>
    <row r="190" spans="1:9" x14ac:dyDescent="0.2">
      <c r="A190" s="16" t="s">
        <v>116</v>
      </c>
      <c r="B190" s="17" t="s">
        <v>27</v>
      </c>
      <c r="C190" s="17" t="s">
        <v>19</v>
      </c>
      <c r="D190" s="17" t="s">
        <v>71</v>
      </c>
      <c r="E190" s="17"/>
      <c r="F190" s="18">
        <f>+F191</f>
        <v>726.7</v>
      </c>
      <c r="G190" s="18">
        <f>+G191</f>
        <v>715.57300000000009</v>
      </c>
      <c r="H190" s="257">
        <f t="shared" si="4"/>
        <v>98.46883170496767</v>
      </c>
      <c r="I190" s="245"/>
    </row>
    <row r="191" spans="1:9" ht="38.25" x14ac:dyDescent="0.2">
      <c r="A191" s="16" t="s">
        <v>21</v>
      </c>
      <c r="B191" s="17" t="s">
        <v>27</v>
      </c>
      <c r="C191" s="17" t="s">
        <v>19</v>
      </c>
      <c r="D191" s="17" t="s">
        <v>71</v>
      </c>
      <c r="E191" s="17">
        <v>100</v>
      </c>
      <c r="F191" s="18">
        <f>+'[1]ведом 3'!G43</f>
        <v>726.7</v>
      </c>
      <c r="G191" s="18">
        <f>+вед!H42</f>
        <v>715.57300000000009</v>
      </c>
      <c r="H191" s="257">
        <f t="shared" si="4"/>
        <v>98.46883170496767</v>
      </c>
      <c r="I191" s="245"/>
    </row>
    <row r="192" spans="1:9" x14ac:dyDescent="0.2">
      <c r="A192" s="54" t="s">
        <v>165</v>
      </c>
      <c r="B192" s="253" t="s">
        <v>102</v>
      </c>
      <c r="C192" s="253" t="s">
        <v>102</v>
      </c>
      <c r="D192" s="188"/>
      <c r="E192" s="188"/>
      <c r="F192" s="21">
        <f>+F193</f>
        <v>289.10000000000002</v>
      </c>
      <c r="G192" s="21">
        <f>+G193</f>
        <v>289.024</v>
      </c>
      <c r="H192" s="257">
        <f t="shared" si="4"/>
        <v>99.973711518505709</v>
      </c>
      <c r="I192" s="245"/>
    </row>
    <row r="193" spans="1:9" ht="25.5" x14ac:dyDescent="0.2">
      <c r="A193" s="23" t="s">
        <v>516</v>
      </c>
      <c r="B193" s="37" t="s">
        <v>102</v>
      </c>
      <c r="C193" s="37" t="s">
        <v>102</v>
      </c>
      <c r="D193" s="1" t="s">
        <v>179</v>
      </c>
      <c r="E193" s="1"/>
      <c r="F193" s="18">
        <f>+F194</f>
        <v>289.10000000000002</v>
      </c>
      <c r="G193" s="18">
        <f>+G194</f>
        <v>289.024</v>
      </c>
      <c r="H193" s="257">
        <f t="shared" si="4"/>
        <v>99.973711518505709</v>
      </c>
      <c r="I193" s="245"/>
    </row>
    <row r="194" spans="1:9" ht="25.5" x14ac:dyDescent="0.2">
      <c r="A194" s="7" t="s">
        <v>66</v>
      </c>
      <c r="B194" s="37" t="s">
        <v>102</v>
      </c>
      <c r="C194" s="37" t="s">
        <v>102</v>
      </c>
      <c r="D194" s="1" t="s">
        <v>179</v>
      </c>
      <c r="E194" s="1">
        <v>200</v>
      </c>
      <c r="F194" s="18">
        <f>+'[1]ведом 3'!G285</f>
        <v>289.10000000000002</v>
      </c>
      <c r="G194" s="18">
        <f>+вед!H284</f>
        <v>289.024</v>
      </c>
      <c r="H194" s="257">
        <f t="shared" si="4"/>
        <v>99.973711518505709</v>
      </c>
      <c r="I194" s="245"/>
    </row>
    <row r="195" spans="1:9" s="248" customFormat="1" x14ac:dyDescent="0.2">
      <c r="A195" s="10" t="s">
        <v>160</v>
      </c>
      <c r="B195" s="188">
        <v>10</v>
      </c>
      <c r="C195" s="188"/>
      <c r="D195" s="188"/>
      <c r="E195" s="188"/>
      <c r="F195" s="21">
        <f>+F196+F200+F219+F236</f>
        <v>146022.63175999999</v>
      </c>
      <c r="G195" s="21">
        <f>+G196+G200+G219+G236</f>
        <v>143403.20866999999</v>
      </c>
      <c r="H195" s="257">
        <f t="shared" si="4"/>
        <v>98.206152663851981</v>
      </c>
      <c r="I195" s="249"/>
    </row>
    <row r="196" spans="1:9" x14ac:dyDescent="0.2">
      <c r="A196" s="7" t="s">
        <v>136</v>
      </c>
      <c r="B196" s="1" t="s">
        <v>97</v>
      </c>
      <c r="C196" s="6">
        <v>1</v>
      </c>
      <c r="D196" s="188"/>
      <c r="E196" s="188"/>
      <c r="F196" s="21">
        <f t="shared" ref="F196:G198" si="6">+F197</f>
        <v>345.53</v>
      </c>
      <c r="G196" s="21">
        <f t="shared" si="6"/>
        <v>345.529</v>
      </c>
      <c r="H196" s="257">
        <f t="shared" si="4"/>
        <v>99.99971058952913</v>
      </c>
      <c r="I196" s="245"/>
    </row>
    <row r="197" spans="1:9" x14ac:dyDescent="0.2">
      <c r="A197" s="7" t="s">
        <v>47</v>
      </c>
      <c r="B197" s="1" t="s">
        <v>97</v>
      </c>
      <c r="C197" s="6">
        <v>1</v>
      </c>
      <c r="D197" s="1" t="s">
        <v>145</v>
      </c>
      <c r="E197" s="1"/>
      <c r="F197" s="18">
        <f t="shared" si="6"/>
        <v>345.53</v>
      </c>
      <c r="G197" s="18">
        <f t="shared" si="6"/>
        <v>345.529</v>
      </c>
      <c r="H197" s="257">
        <f t="shared" si="4"/>
        <v>99.99971058952913</v>
      </c>
      <c r="I197" s="245"/>
    </row>
    <row r="198" spans="1:9" x14ac:dyDescent="0.2">
      <c r="A198" s="7" t="s">
        <v>46</v>
      </c>
      <c r="B198" s="1" t="s">
        <v>97</v>
      </c>
      <c r="C198" s="6">
        <v>1</v>
      </c>
      <c r="D198" s="1" t="s">
        <v>145</v>
      </c>
      <c r="E198" s="1"/>
      <c r="F198" s="18">
        <f t="shared" si="6"/>
        <v>345.53</v>
      </c>
      <c r="G198" s="18">
        <f t="shared" si="6"/>
        <v>345.529</v>
      </c>
      <c r="H198" s="257">
        <f t="shared" si="4"/>
        <v>99.99971058952913</v>
      </c>
      <c r="I198" s="245"/>
    </row>
    <row r="199" spans="1:9" x14ac:dyDescent="0.2">
      <c r="A199" s="7" t="s">
        <v>69</v>
      </c>
      <c r="B199" s="1" t="s">
        <v>97</v>
      </c>
      <c r="C199" s="6">
        <v>1</v>
      </c>
      <c r="D199" s="1" t="s">
        <v>145</v>
      </c>
      <c r="E199" s="1" t="s">
        <v>99</v>
      </c>
      <c r="F199" s="18">
        <f>+'[1]ведом 3'!G131</f>
        <v>345.53</v>
      </c>
      <c r="G199" s="18">
        <f>+вед!H130</f>
        <v>345.529</v>
      </c>
      <c r="H199" s="257">
        <f t="shared" si="4"/>
        <v>99.99971058952913</v>
      </c>
      <c r="I199" s="245"/>
    </row>
    <row r="200" spans="1:9" x14ac:dyDescent="0.2">
      <c r="A200" s="10" t="s">
        <v>138</v>
      </c>
      <c r="B200" s="188">
        <v>10</v>
      </c>
      <c r="C200" s="211">
        <v>3</v>
      </c>
      <c r="D200" s="188"/>
      <c r="E200" s="188"/>
      <c r="F200" s="21">
        <f>+F201+F203+F205+F207+F209+F211+F213+F215+F217</f>
        <v>24980.763189999998</v>
      </c>
      <c r="G200" s="21">
        <f>+G201+G203+G205+G207+G209+G211+G213+G215+G217</f>
        <v>24934.313429999998</v>
      </c>
      <c r="H200" s="257">
        <f t="shared" si="4"/>
        <v>99.814057882672728</v>
      </c>
      <c r="I200" s="245"/>
    </row>
    <row r="201" spans="1:9" x14ac:dyDescent="0.2">
      <c r="A201" s="7" t="s">
        <v>137</v>
      </c>
      <c r="B201" s="1" t="s">
        <v>97</v>
      </c>
      <c r="C201" s="6">
        <v>3</v>
      </c>
      <c r="D201" s="1" t="s">
        <v>210</v>
      </c>
      <c r="E201" s="1"/>
      <c r="F201" s="18">
        <f>+F202</f>
        <v>4233.8230000000003</v>
      </c>
      <c r="G201" s="18">
        <f>+G202</f>
        <v>4233.8229999999994</v>
      </c>
      <c r="H201" s="257">
        <f t="shared" si="4"/>
        <v>99.999999999999972</v>
      </c>
      <c r="I201" s="245"/>
    </row>
    <row r="202" spans="1:9" x14ac:dyDescent="0.2">
      <c r="A202" s="7" t="s">
        <v>69</v>
      </c>
      <c r="B202" s="1" t="s">
        <v>97</v>
      </c>
      <c r="C202" s="6">
        <v>3</v>
      </c>
      <c r="D202" s="1" t="s">
        <v>210</v>
      </c>
      <c r="E202" s="1" t="s">
        <v>99</v>
      </c>
      <c r="F202" s="18">
        <f>+'[1]ведом 3'!G134</f>
        <v>4233.8230000000003</v>
      </c>
      <c r="G202" s="18">
        <f>+вед!H133</f>
        <v>4233.8229999999994</v>
      </c>
      <c r="H202" s="257">
        <f t="shared" si="4"/>
        <v>99.999999999999972</v>
      </c>
      <c r="I202" s="245"/>
    </row>
    <row r="203" spans="1:9" x14ac:dyDescent="0.2">
      <c r="A203" s="7" t="s">
        <v>140</v>
      </c>
      <c r="B203" s="1" t="s">
        <v>97</v>
      </c>
      <c r="C203" s="6">
        <v>3</v>
      </c>
      <c r="D203" s="1" t="s">
        <v>211</v>
      </c>
      <c r="E203" s="1"/>
      <c r="F203" s="18">
        <f>+F204</f>
        <v>171.91318999999999</v>
      </c>
      <c r="G203" s="18">
        <f>+G204</f>
        <v>154.64643000000001</v>
      </c>
      <c r="H203" s="257">
        <f t="shared" si="4"/>
        <v>89.956116805231773</v>
      </c>
    </row>
    <row r="204" spans="1:9" x14ac:dyDescent="0.2">
      <c r="A204" s="7" t="s">
        <v>69</v>
      </c>
      <c r="B204" s="1" t="s">
        <v>97</v>
      </c>
      <c r="C204" s="6">
        <v>3</v>
      </c>
      <c r="D204" s="1" t="s">
        <v>211</v>
      </c>
      <c r="E204" s="1" t="s">
        <v>99</v>
      </c>
      <c r="F204" s="18">
        <f>+'[1]ведом 3'!G136</f>
        <v>171.91318999999999</v>
      </c>
      <c r="G204" s="18">
        <f>+вед!H135</f>
        <v>154.64643000000001</v>
      </c>
      <c r="H204" s="257">
        <f t="shared" ref="H204:H267" si="7">+G204/F204*100</f>
        <v>89.956116805231773</v>
      </c>
    </row>
    <row r="205" spans="1:9" x14ac:dyDescent="0.2">
      <c r="A205" s="7" t="s">
        <v>85</v>
      </c>
      <c r="B205" s="1" t="s">
        <v>97</v>
      </c>
      <c r="C205" s="6">
        <v>3</v>
      </c>
      <c r="D205" s="1" t="s">
        <v>212</v>
      </c>
      <c r="E205" s="1"/>
      <c r="F205" s="18">
        <f>+F206</f>
        <v>6458</v>
      </c>
      <c r="G205" s="18">
        <f>+G206</f>
        <v>6458</v>
      </c>
      <c r="H205" s="257">
        <f t="shared" si="7"/>
        <v>100</v>
      </c>
    </row>
    <row r="206" spans="1:9" x14ac:dyDescent="0.2">
      <c r="A206" s="7" t="s">
        <v>69</v>
      </c>
      <c r="B206" s="1" t="s">
        <v>97</v>
      </c>
      <c r="C206" s="6">
        <v>3</v>
      </c>
      <c r="D206" s="1" t="s">
        <v>212</v>
      </c>
      <c r="E206" s="1" t="s">
        <v>99</v>
      </c>
      <c r="F206" s="18">
        <f>+'[1]ведом 3'!G138</f>
        <v>6458</v>
      </c>
      <c r="G206" s="18">
        <f>+вед!H137</f>
        <v>6458</v>
      </c>
      <c r="H206" s="257">
        <f t="shared" si="7"/>
        <v>100</v>
      </c>
    </row>
    <row r="207" spans="1:9" ht="25.5" x14ac:dyDescent="0.2">
      <c r="A207" s="7" t="s">
        <v>49</v>
      </c>
      <c r="B207" s="1" t="s">
        <v>97</v>
      </c>
      <c r="C207" s="6">
        <v>3</v>
      </c>
      <c r="D207" s="1" t="s">
        <v>213</v>
      </c>
      <c r="E207" s="1"/>
      <c r="F207" s="18">
        <f>+F208</f>
        <v>6920</v>
      </c>
      <c r="G207" s="18">
        <f>+G208</f>
        <v>6920</v>
      </c>
      <c r="H207" s="257">
        <f t="shared" si="7"/>
        <v>100</v>
      </c>
    </row>
    <row r="208" spans="1:9" x14ac:dyDescent="0.2">
      <c r="A208" s="7" t="s">
        <v>69</v>
      </c>
      <c r="B208" s="1" t="s">
        <v>97</v>
      </c>
      <c r="C208" s="6">
        <v>3</v>
      </c>
      <c r="D208" s="1" t="s">
        <v>213</v>
      </c>
      <c r="E208" s="1" t="s">
        <v>99</v>
      </c>
      <c r="F208" s="18">
        <f>+'[1]ведом 3'!G140</f>
        <v>6920</v>
      </c>
      <c r="G208" s="18">
        <f>+вед!H139</f>
        <v>6920</v>
      </c>
      <c r="H208" s="257">
        <f t="shared" si="7"/>
        <v>100</v>
      </c>
    </row>
    <row r="209" spans="1:8" x14ac:dyDescent="0.2">
      <c r="A209" s="7" t="s">
        <v>139</v>
      </c>
      <c r="B209" s="1" t="s">
        <v>97</v>
      </c>
      <c r="C209" s="6">
        <v>3</v>
      </c>
      <c r="D209" s="1" t="s">
        <v>67</v>
      </c>
      <c r="E209" s="1"/>
      <c r="F209" s="18">
        <f>+F210</f>
        <v>6049.7269999999999</v>
      </c>
      <c r="G209" s="18">
        <f>+G210</f>
        <v>6020.5439999999999</v>
      </c>
      <c r="H209" s="257">
        <f t="shared" si="7"/>
        <v>99.51761459649336</v>
      </c>
    </row>
    <row r="210" spans="1:8" x14ac:dyDescent="0.2">
      <c r="A210" s="7" t="s">
        <v>69</v>
      </c>
      <c r="B210" s="1" t="s">
        <v>97</v>
      </c>
      <c r="C210" s="6">
        <v>3</v>
      </c>
      <c r="D210" s="1" t="s">
        <v>67</v>
      </c>
      <c r="E210" s="1" t="s">
        <v>99</v>
      </c>
      <c r="F210" s="18">
        <f>+'[1]ведом 3'!G142</f>
        <v>6049.7269999999999</v>
      </c>
      <c r="G210" s="18">
        <f>+вед!H141</f>
        <v>6020.5439999999999</v>
      </c>
      <c r="H210" s="257">
        <f t="shared" si="7"/>
        <v>99.51761459649336</v>
      </c>
    </row>
    <row r="211" spans="1:8" ht="25.5" x14ac:dyDescent="0.2">
      <c r="A211" s="12" t="s">
        <v>48</v>
      </c>
      <c r="B211" s="1">
        <v>10</v>
      </c>
      <c r="C211" s="6">
        <v>3</v>
      </c>
      <c r="D211" s="1" t="s">
        <v>96</v>
      </c>
      <c r="E211" s="12"/>
      <c r="F211" s="14">
        <f>+F212</f>
        <v>0</v>
      </c>
      <c r="G211" s="14">
        <f>+G212</f>
        <v>0</v>
      </c>
      <c r="H211" s="257" t="e">
        <f t="shared" si="7"/>
        <v>#DIV/0!</v>
      </c>
    </row>
    <row r="212" spans="1:8" x14ac:dyDescent="0.2">
      <c r="A212" s="7" t="s">
        <v>69</v>
      </c>
      <c r="B212" s="1">
        <v>10</v>
      </c>
      <c r="C212" s="6">
        <v>3</v>
      </c>
      <c r="D212" s="1" t="s">
        <v>96</v>
      </c>
      <c r="E212" s="1" t="s">
        <v>99</v>
      </c>
      <c r="F212" s="18">
        <f>+'[1]ведом 3'!G146</f>
        <v>0</v>
      </c>
      <c r="G212" s="18">
        <f>+'[1]ведом 3'!H146</f>
        <v>0</v>
      </c>
      <c r="H212" s="257" t="e">
        <f t="shared" si="7"/>
        <v>#DIV/0!</v>
      </c>
    </row>
    <row r="213" spans="1:8" ht="25.5" x14ac:dyDescent="0.2">
      <c r="A213" s="7" t="s">
        <v>439</v>
      </c>
      <c r="B213" s="1">
        <v>10</v>
      </c>
      <c r="C213" s="254">
        <v>3</v>
      </c>
      <c r="D213" s="1" t="s">
        <v>440</v>
      </c>
      <c r="E213" s="1"/>
      <c r="F213" s="2">
        <f>+F214</f>
        <v>0</v>
      </c>
      <c r="G213" s="2">
        <f>+G214</f>
        <v>0</v>
      </c>
      <c r="H213" s="257" t="e">
        <f t="shared" si="7"/>
        <v>#DIV/0!</v>
      </c>
    </row>
    <row r="214" spans="1:8" x14ac:dyDescent="0.2">
      <c r="A214" s="7" t="s">
        <v>69</v>
      </c>
      <c r="B214" s="1">
        <v>10</v>
      </c>
      <c r="C214" s="254">
        <v>3</v>
      </c>
      <c r="D214" s="1" t="s">
        <v>440</v>
      </c>
      <c r="E214" s="1">
        <v>300</v>
      </c>
      <c r="F214" s="2">
        <f>+'[1]ведом 3'!G144</f>
        <v>0</v>
      </c>
      <c r="G214" s="2">
        <f>+'[1]ведом 3'!H144</f>
        <v>0</v>
      </c>
      <c r="H214" s="257" t="e">
        <f t="shared" si="7"/>
        <v>#DIV/0!</v>
      </c>
    </row>
    <row r="215" spans="1:8" x14ac:dyDescent="0.2">
      <c r="A215" s="7" t="s">
        <v>95</v>
      </c>
      <c r="B215" s="1" t="s">
        <v>97</v>
      </c>
      <c r="C215" s="1" t="s">
        <v>98</v>
      </c>
      <c r="D215" s="1" t="s">
        <v>438</v>
      </c>
      <c r="E215" s="1" t="s">
        <v>8</v>
      </c>
      <c r="F215" s="18">
        <f>+F216</f>
        <v>1122.3000000000002</v>
      </c>
      <c r="G215" s="18">
        <f>+G216</f>
        <v>1122.3000000000002</v>
      </c>
      <c r="H215" s="257">
        <f t="shared" si="7"/>
        <v>100</v>
      </c>
    </row>
    <row r="216" spans="1:8" ht="25.5" x14ac:dyDescent="0.2">
      <c r="A216" s="7" t="s">
        <v>13</v>
      </c>
      <c r="B216" s="1" t="s">
        <v>97</v>
      </c>
      <c r="C216" s="1" t="s">
        <v>98</v>
      </c>
      <c r="D216" s="1" t="s">
        <v>438</v>
      </c>
      <c r="E216" s="1">
        <v>600</v>
      </c>
      <c r="F216" s="18">
        <f>+'[1]ведом 3'!G123</f>
        <v>1122.3000000000002</v>
      </c>
      <c r="G216" s="18">
        <f>+вед!H122</f>
        <v>1122.3000000000002</v>
      </c>
      <c r="H216" s="257">
        <f t="shared" si="7"/>
        <v>100</v>
      </c>
    </row>
    <row r="217" spans="1:8" ht="25.5" x14ac:dyDescent="0.2">
      <c r="A217" s="206" t="s">
        <v>151</v>
      </c>
      <c r="B217" s="37" t="s">
        <v>97</v>
      </c>
      <c r="C217" s="37" t="s">
        <v>98</v>
      </c>
      <c r="D217" s="30" t="s">
        <v>496</v>
      </c>
      <c r="E217" s="1"/>
      <c r="F217" s="18">
        <f>+F218</f>
        <v>25</v>
      </c>
      <c r="G217" s="18">
        <f>+G218</f>
        <v>25</v>
      </c>
      <c r="H217" s="257">
        <f t="shared" si="7"/>
        <v>100</v>
      </c>
    </row>
    <row r="218" spans="1:8" ht="25.5" x14ac:dyDescent="0.2">
      <c r="A218" s="206" t="s">
        <v>66</v>
      </c>
      <c r="B218" s="37" t="s">
        <v>97</v>
      </c>
      <c r="C218" s="37" t="s">
        <v>98</v>
      </c>
      <c r="D218" s="30" t="s">
        <v>496</v>
      </c>
      <c r="E218" s="1">
        <v>244</v>
      </c>
      <c r="F218" s="18">
        <f>+'[1]ведом 3'!G290</f>
        <v>25</v>
      </c>
      <c r="G218" s="18">
        <f>+вед!H289</f>
        <v>25</v>
      </c>
      <c r="H218" s="257">
        <f t="shared" si="7"/>
        <v>100</v>
      </c>
    </row>
    <row r="219" spans="1:8" x14ac:dyDescent="0.2">
      <c r="A219" s="10" t="s">
        <v>45</v>
      </c>
      <c r="B219" s="188" t="s">
        <v>97</v>
      </c>
      <c r="C219" s="188" t="s">
        <v>19</v>
      </c>
      <c r="D219" s="188"/>
      <c r="E219" s="188"/>
      <c r="F219" s="21">
        <f>+F222+F220+F224+F226+F228+F230+F232+F234</f>
        <v>114733.57256999999</v>
      </c>
      <c r="G219" s="21">
        <f>+G222+G220+G224+G226+G228+G230+G232+G234</f>
        <v>112244.49666</v>
      </c>
      <c r="H219" s="257">
        <f t="shared" si="7"/>
        <v>97.83056009305264</v>
      </c>
    </row>
    <row r="220" spans="1:8" ht="38.25" x14ac:dyDescent="0.2">
      <c r="A220" s="16" t="s">
        <v>441</v>
      </c>
      <c r="B220" s="1" t="s">
        <v>97</v>
      </c>
      <c r="C220" s="1" t="s">
        <v>19</v>
      </c>
      <c r="D220" s="67" t="s">
        <v>68</v>
      </c>
      <c r="E220" s="67"/>
      <c r="F220" s="18">
        <f>+F221</f>
        <v>19015.298180000002</v>
      </c>
      <c r="G220" s="18">
        <f>+G221</f>
        <v>18714.278180000001</v>
      </c>
      <c r="H220" s="257">
        <f t="shared" si="7"/>
        <v>98.416958823624398</v>
      </c>
    </row>
    <row r="221" spans="1:8" x14ac:dyDescent="0.2">
      <c r="A221" s="206" t="s">
        <v>69</v>
      </c>
      <c r="B221" s="1" t="s">
        <v>97</v>
      </c>
      <c r="C221" s="1" t="s">
        <v>19</v>
      </c>
      <c r="D221" s="67" t="s">
        <v>68</v>
      </c>
      <c r="E221" s="67" t="s">
        <v>99</v>
      </c>
      <c r="F221" s="18">
        <f>+'[1]ведом 3'!G149</f>
        <v>19015.298180000002</v>
      </c>
      <c r="G221" s="18">
        <f>+вед!H148</f>
        <v>18714.278180000001</v>
      </c>
      <c r="H221" s="257">
        <f t="shared" si="7"/>
        <v>98.416958823624398</v>
      </c>
    </row>
    <row r="222" spans="1:8" ht="38.25" x14ac:dyDescent="0.2">
      <c r="A222" s="7" t="s">
        <v>107</v>
      </c>
      <c r="B222" s="1" t="s">
        <v>97</v>
      </c>
      <c r="C222" s="1" t="s">
        <v>19</v>
      </c>
      <c r="D222" s="1" t="s">
        <v>215</v>
      </c>
      <c r="E222" s="1" t="s">
        <v>8</v>
      </c>
      <c r="F222" s="18">
        <f>+F223</f>
        <v>1651.875</v>
      </c>
      <c r="G222" s="18">
        <f>+G223</f>
        <v>1651.875</v>
      </c>
      <c r="H222" s="257">
        <f t="shared" si="7"/>
        <v>100</v>
      </c>
    </row>
    <row r="223" spans="1:8" x14ac:dyDescent="0.2">
      <c r="A223" s="7" t="s">
        <v>69</v>
      </c>
      <c r="B223" s="1" t="s">
        <v>97</v>
      </c>
      <c r="C223" s="3" t="s">
        <v>19</v>
      </c>
      <c r="D223" s="1" t="s">
        <v>215</v>
      </c>
      <c r="E223" s="1">
        <v>300</v>
      </c>
      <c r="F223" s="18">
        <f>+'[1]ведом 3'!G126</f>
        <v>1651.875</v>
      </c>
      <c r="G223" s="18">
        <f>+вед!H125</f>
        <v>1651.875</v>
      </c>
      <c r="H223" s="257">
        <f t="shared" si="7"/>
        <v>100</v>
      </c>
    </row>
    <row r="224" spans="1:8" ht="25.5" x14ac:dyDescent="0.2">
      <c r="A224" s="16" t="s">
        <v>442</v>
      </c>
      <c r="B224" s="17" t="s">
        <v>97</v>
      </c>
      <c r="C224" s="26" t="s">
        <v>19</v>
      </c>
      <c r="D224" s="17" t="s">
        <v>443</v>
      </c>
      <c r="E224" s="17"/>
      <c r="F224" s="18">
        <f>+F225</f>
        <v>18334.7</v>
      </c>
      <c r="G224" s="18">
        <f>+G225</f>
        <v>18283.016</v>
      </c>
      <c r="H224" s="257">
        <f t="shared" si="7"/>
        <v>99.718108286473182</v>
      </c>
    </row>
    <row r="225" spans="1:8" x14ac:dyDescent="0.2">
      <c r="A225" s="16" t="s">
        <v>69</v>
      </c>
      <c r="B225" s="17" t="s">
        <v>97</v>
      </c>
      <c r="C225" s="26" t="s">
        <v>19</v>
      </c>
      <c r="D225" s="17" t="s">
        <v>443</v>
      </c>
      <c r="E225" s="17" t="s">
        <v>99</v>
      </c>
      <c r="F225" s="18">
        <f>+'[1]ведом 3'!G151</f>
        <v>18334.7</v>
      </c>
      <c r="G225" s="18">
        <f>+вед!H150</f>
        <v>18283.016</v>
      </c>
      <c r="H225" s="257">
        <f t="shared" si="7"/>
        <v>99.718108286473182</v>
      </c>
    </row>
    <row r="226" spans="1:8" ht="48" x14ac:dyDescent="0.2">
      <c r="A226" s="215" t="s">
        <v>444</v>
      </c>
      <c r="B226" s="17" t="s">
        <v>97</v>
      </c>
      <c r="C226" s="26" t="s">
        <v>19</v>
      </c>
      <c r="D226" s="216" t="s">
        <v>445</v>
      </c>
      <c r="E226" s="17"/>
      <c r="F226" s="18">
        <f>+F227</f>
        <v>3557.2</v>
      </c>
      <c r="G226" s="18">
        <f>+G227</f>
        <v>1807.88509</v>
      </c>
      <c r="H226" s="257">
        <f t="shared" si="7"/>
        <v>50.823262397391211</v>
      </c>
    </row>
    <row r="227" spans="1:8" x14ac:dyDescent="0.2">
      <c r="A227" s="210" t="s">
        <v>69</v>
      </c>
      <c r="B227" s="17" t="s">
        <v>97</v>
      </c>
      <c r="C227" s="26" t="s">
        <v>19</v>
      </c>
      <c r="D227" s="217" t="s">
        <v>445</v>
      </c>
      <c r="E227" s="218" t="s">
        <v>446</v>
      </c>
      <c r="F227" s="18">
        <f>+'[1]ведом 3'!G153</f>
        <v>3557.2</v>
      </c>
      <c r="G227" s="18">
        <f>+вед!H152</f>
        <v>1807.88509</v>
      </c>
      <c r="H227" s="257">
        <f t="shared" si="7"/>
        <v>50.823262397391211</v>
      </c>
    </row>
    <row r="228" spans="1:8" ht="24" x14ac:dyDescent="0.2">
      <c r="A228" s="215" t="s">
        <v>447</v>
      </c>
      <c r="B228" s="17" t="s">
        <v>97</v>
      </c>
      <c r="C228" s="26" t="s">
        <v>19</v>
      </c>
      <c r="D228" s="219" t="s">
        <v>448</v>
      </c>
      <c r="E228" s="17"/>
      <c r="F228" s="18">
        <f>+F229</f>
        <v>5693.4543899999999</v>
      </c>
      <c r="G228" s="18">
        <f>+G229</f>
        <v>5693.4543899999999</v>
      </c>
      <c r="H228" s="257">
        <f t="shared" si="7"/>
        <v>100</v>
      </c>
    </row>
    <row r="229" spans="1:8" x14ac:dyDescent="0.2">
      <c r="A229" s="210" t="s">
        <v>69</v>
      </c>
      <c r="B229" s="17" t="s">
        <v>97</v>
      </c>
      <c r="C229" s="26" t="s">
        <v>19</v>
      </c>
      <c r="D229" s="219" t="s">
        <v>448</v>
      </c>
      <c r="E229" s="17">
        <v>300</v>
      </c>
      <c r="F229" s="18">
        <f>+'[1]ведом 3'!G155</f>
        <v>5693.4543899999999</v>
      </c>
      <c r="G229" s="18">
        <f>+вед!H154</f>
        <v>5693.4543899999999</v>
      </c>
      <c r="H229" s="257">
        <f t="shared" si="7"/>
        <v>100</v>
      </c>
    </row>
    <row r="230" spans="1:8" ht="24" x14ac:dyDescent="0.2">
      <c r="A230" s="220" t="s">
        <v>449</v>
      </c>
      <c r="B230" s="17" t="s">
        <v>97</v>
      </c>
      <c r="C230" s="26" t="s">
        <v>19</v>
      </c>
      <c r="D230" s="221" t="s">
        <v>450</v>
      </c>
      <c r="E230" s="17"/>
      <c r="F230" s="18">
        <f>+F231</f>
        <v>25901.881000000001</v>
      </c>
      <c r="G230" s="18">
        <f>+G231</f>
        <v>25902.881000000001</v>
      </c>
      <c r="H230" s="257">
        <f t="shared" si="7"/>
        <v>100.00386072347409</v>
      </c>
    </row>
    <row r="231" spans="1:8" x14ac:dyDescent="0.2">
      <c r="A231" s="210" t="s">
        <v>69</v>
      </c>
      <c r="B231" s="17" t="s">
        <v>97</v>
      </c>
      <c r="C231" s="26" t="s">
        <v>19</v>
      </c>
      <c r="D231" s="221" t="s">
        <v>450</v>
      </c>
      <c r="E231" s="17">
        <v>300</v>
      </c>
      <c r="F231" s="18">
        <f>+'[1]ведом 3'!G157</f>
        <v>25901.881000000001</v>
      </c>
      <c r="G231" s="18">
        <f>+вед!H156</f>
        <v>25902.881000000001</v>
      </c>
      <c r="H231" s="257">
        <f t="shared" si="7"/>
        <v>100.00386072347409</v>
      </c>
    </row>
    <row r="232" spans="1:8" ht="33.75" x14ac:dyDescent="0.2">
      <c r="A232" s="222" t="s">
        <v>451</v>
      </c>
      <c r="B232" s="17" t="s">
        <v>97</v>
      </c>
      <c r="C232" s="26" t="s">
        <v>19</v>
      </c>
      <c r="D232" s="219" t="s">
        <v>452</v>
      </c>
      <c r="E232" s="17"/>
      <c r="F232" s="18">
        <f>+F233</f>
        <v>39161.663999999997</v>
      </c>
      <c r="G232" s="18">
        <f>+G233</f>
        <v>38773.607000000004</v>
      </c>
      <c r="H232" s="257">
        <f t="shared" si="7"/>
        <v>99.009089603546997</v>
      </c>
    </row>
    <row r="233" spans="1:8" x14ac:dyDescent="0.2">
      <c r="A233" s="210" t="s">
        <v>69</v>
      </c>
      <c r="B233" s="17" t="s">
        <v>97</v>
      </c>
      <c r="C233" s="26" t="s">
        <v>19</v>
      </c>
      <c r="D233" s="219" t="s">
        <v>452</v>
      </c>
      <c r="E233" s="17">
        <v>300</v>
      </c>
      <c r="F233" s="18">
        <f>+'[1]ведом 3'!G159</f>
        <v>39161.663999999997</v>
      </c>
      <c r="G233" s="18">
        <f>+вед!H158</f>
        <v>38773.607000000004</v>
      </c>
      <c r="H233" s="257">
        <f t="shared" si="7"/>
        <v>99.009089603546997</v>
      </c>
    </row>
    <row r="234" spans="1:8" x14ac:dyDescent="0.2">
      <c r="A234" s="206" t="s">
        <v>196</v>
      </c>
      <c r="B234" s="1" t="s">
        <v>97</v>
      </c>
      <c r="C234" s="1" t="s">
        <v>19</v>
      </c>
      <c r="D234" s="30" t="s">
        <v>495</v>
      </c>
      <c r="E234" s="1"/>
      <c r="F234" s="18">
        <f>+F235</f>
        <v>1417.5</v>
      </c>
      <c r="G234" s="18">
        <f>+G235</f>
        <v>1417.5</v>
      </c>
      <c r="H234" s="257">
        <f t="shared" si="7"/>
        <v>100</v>
      </c>
    </row>
    <row r="235" spans="1:8" x14ac:dyDescent="0.2">
      <c r="A235" s="206" t="s">
        <v>69</v>
      </c>
      <c r="B235" s="1" t="s">
        <v>97</v>
      </c>
      <c r="C235" s="1" t="s">
        <v>19</v>
      </c>
      <c r="D235" s="30" t="s">
        <v>495</v>
      </c>
      <c r="E235" s="1">
        <v>300</v>
      </c>
      <c r="F235" s="18">
        <f>+вед!G287</f>
        <v>1417.5</v>
      </c>
      <c r="G235" s="18">
        <f>+вед!H287</f>
        <v>1417.5</v>
      </c>
      <c r="H235" s="257">
        <f t="shared" si="7"/>
        <v>100</v>
      </c>
    </row>
    <row r="236" spans="1:8" x14ac:dyDescent="0.2">
      <c r="A236" s="10" t="s">
        <v>141</v>
      </c>
      <c r="B236" s="188" t="s">
        <v>97</v>
      </c>
      <c r="C236" s="211">
        <v>6</v>
      </c>
      <c r="D236" s="188"/>
      <c r="E236" s="188"/>
      <c r="F236" s="21">
        <f>+F237+F241+F243</f>
        <v>5962.7659999999996</v>
      </c>
      <c r="G236" s="21">
        <f>+G237+G241+G243</f>
        <v>5878.8695799999996</v>
      </c>
      <c r="H236" s="257">
        <f t="shared" si="7"/>
        <v>98.592994928863547</v>
      </c>
    </row>
    <row r="237" spans="1:8" x14ac:dyDescent="0.2">
      <c r="A237" s="7" t="s">
        <v>142</v>
      </c>
      <c r="B237" s="1" t="s">
        <v>97</v>
      </c>
      <c r="C237" s="6">
        <v>6</v>
      </c>
      <c r="D237" s="1" t="s">
        <v>70</v>
      </c>
      <c r="E237" s="1"/>
      <c r="F237" s="18">
        <f>+F238+F239+F240</f>
        <v>5516.5659999999998</v>
      </c>
      <c r="G237" s="18">
        <f>+G238+G239+G240</f>
        <v>5432.6695799999998</v>
      </c>
      <c r="H237" s="257">
        <f t="shared" si="7"/>
        <v>98.479191221495398</v>
      </c>
    </row>
    <row r="238" spans="1:8" ht="38.25" x14ac:dyDescent="0.2">
      <c r="A238" s="7" t="s">
        <v>21</v>
      </c>
      <c r="B238" s="1" t="s">
        <v>97</v>
      </c>
      <c r="C238" s="6">
        <v>6</v>
      </c>
      <c r="D238" s="1" t="s">
        <v>71</v>
      </c>
      <c r="E238" s="1">
        <v>100</v>
      </c>
      <c r="F238" s="18">
        <f>+'[1]ведом 3'!G162</f>
        <v>4934.3999999999996</v>
      </c>
      <c r="G238" s="18">
        <f>+вед!H161</f>
        <v>4850.50515</v>
      </c>
      <c r="H238" s="257">
        <f t="shared" si="7"/>
        <v>98.299796327821014</v>
      </c>
    </row>
    <row r="239" spans="1:8" ht="25.5" x14ac:dyDescent="0.2">
      <c r="A239" s="7" t="s">
        <v>66</v>
      </c>
      <c r="B239" s="1" t="s">
        <v>97</v>
      </c>
      <c r="C239" s="6">
        <v>6</v>
      </c>
      <c r="D239" s="1" t="s">
        <v>72</v>
      </c>
      <c r="E239" s="1">
        <v>200</v>
      </c>
      <c r="F239" s="18">
        <f>+'[1]ведом 3'!G163</f>
        <v>559.60699999999997</v>
      </c>
      <c r="G239" s="18">
        <f>+вед!H162</f>
        <v>559.60550000000001</v>
      </c>
      <c r="H239" s="257">
        <f t="shared" si="7"/>
        <v>99.999731954746821</v>
      </c>
    </row>
    <row r="240" spans="1:8" x14ac:dyDescent="0.2">
      <c r="A240" s="7" t="s">
        <v>24</v>
      </c>
      <c r="B240" s="1" t="s">
        <v>97</v>
      </c>
      <c r="C240" s="6">
        <v>6</v>
      </c>
      <c r="D240" s="1" t="s">
        <v>72</v>
      </c>
      <c r="E240" s="1" t="s">
        <v>25</v>
      </c>
      <c r="F240" s="18">
        <f>+'[1]ведом 3'!G164</f>
        <v>22.559000000000001</v>
      </c>
      <c r="G240" s="18">
        <f>+вед!H163</f>
        <v>22.55893</v>
      </c>
      <c r="H240" s="257">
        <f t="shared" si="7"/>
        <v>99.999689702557731</v>
      </c>
    </row>
    <row r="241" spans="1:8" ht="38.25" x14ac:dyDescent="0.2">
      <c r="A241" s="7" t="s">
        <v>144</v>
      </c>
      <c r="B241" s="1" t="s">
        <v>97</v>
      </c>
      <c r="C241" s="6">
        <v>6</v>
      </c>
      <c r="D241" s="1" t="s">
        <v>214</v>
      </c>
      <c r="E241" s="1"/>
      <c r="F241" s="18">
        <f>+F242</f>
        <v>431.2</v>
      </c>
      <c r="G241" s="18">
        <f>+G242</f>
        <v>431.2</v>
      </c>
      <c r="H241" s="257">
        <f t="shared" si="7"/>
        <v>100</v>
      </c>
    </row>
    <row r="242" spans="1:8" ht="25.5" x14ac:dyDescent="0.2">
      <c r="A242" s="7" t="s">
        <v>66</v>
      </c>
      <c r="B242" s="1" t="s">
        <v>97</v>
      </c>
      <c r="C242" s="6">
        <v>6</v>
      </c>
      <c r="D242" s="1" t="s">
        <v>214</v>
      </c>
      <c r="E242" s="1" t="s">
        <v>16</v>
      </c>
      <c r="F242" s="18">
        <f>+'[1]ведом 3'!G166</f>
        <v>431.2</v>
      </c>
      <c r="G242" s="18">
        <f>+вед!H165</f>
        <v>431.2</v>
      </c>
      <c r="H242" s="257">
        <f t="shared" si="7"/>
        <v>100</v>
      </c>
    </row>
    <row r="243" spans="1:8" ht="25.5" x14ac:dyDescent="0.2">
      <c r="A243" s="7" t="s">
        <v>202</v>
      </c>
      <c r="B243" s="1" t="s">
        <v>97</v>
      </c>
      <c r="C243" s="6">
        <v>6</v>
      </c>
      <c r="D243" s="17" t="s">
        <v>173</v>
      </c>
      <c r="E243" s="1"/>
      <c r="F243" s="18">
        <f>+F244</f>
        <v>15</v>
      </c>
      <c r="G243" s="18">
        <f>+G244</f>
        <v>15</v>
      </c>
      <c r="H243" s="257">
        <f t="shared" si="7"/>
        <v>100</v>
      </c>
    </row>
    <row r="244" spans="1:8" ht="25.5" x14ac:dyDescent="0.2">
      <c r="A244" s="7" t="s">
        <v>66</v>
      </c>
      <c r="B244" s="1" t="s">
        <v>97</v>
      </c>
      <c r="C244" s="6">
        <v>6</v>
      </c>
      <c r="D244" s="17" t="s">
        <v>173</v>
      </c>
      <c r="E244" s="1" t="s">
        <v>16</v>
      </c>
      <c r="F244" s="18">
        <f>+'[1]ведом 3'!G168</f>
        <v>15</v>
      </c>
      <c r="G244" s="18">
        <f>+вед!H167</f>
        <v>15</v>
      </c>
      <c r="H244" s="257">
        <f t="shared" si="7"/>
        <v>100</v>
      </c>
    </row>
    <row r="245" spans="1:8" x14ac:dyDescent="0.2">
      <c r="A245" s="10" t="s">
        <v>167</v>
      </c>
      <c r="B245" s="188">
        <v>11</v>
      </c>
      <c r="C245" s="211">
        <v>0</v>
      </c>
      <c r="D245" s="213"/>
      <c r="E245" s="188"/>
      <c r="F245" s="21">
        <f>+F246</f>
        <v>495.149</v>
      </c>
      <c r="G245" s="21">
        <f>+G246</f>
        <v>495.149</v>
      </c>
      <c r="H245" s="257">
        <f t="shared" si="7"/>
        <v>100</v>
      </c>
    </row>
    <row r="246" spans="1:8" ht="25.5" x14ac:dyDescent="0.2">
      <c r="A246" s="22" t="s">
        <v>186</v>
      </c>
      <c r="B246" s="1">
        <v>11</v>
      </c>
      <c r="C246" s="6">
        <v>1</v>
      </c>
      <c r="D246" s="17" t="s">
        <v>180</v>
      </c>
      <c r="E246" s="1"/>
      <c r="F246" s="18">
        <f>+F247</f>
        <v>495.149</v>
      </c>
      <c r="G246" s="18">
        <f>+G247</f>
        <v>495.149</v>
      </c>
      <c r="H246" s="257">
        <f t="shared" si="7"/>
        <v>100</v>
      </c>
    </row>
    <row r="247" spans="1:8" ht="25.5" x14ac:dyDescent="0.2">
      <c r="A247" s="7" t="s">
        <v>66</v>
      </c>
      <c r="B247" s="1">
        <v>11</v>
      </c>
      <c r="C247" s="6">
        <v>1</v>
      </c>
      <c r="D247" s="17" t="s">
        <v>180</v>
      </c>
      <c r="E247" s="1">
        <v>200</v>
      </c>
      <c r="F247" s="18">
        <f>+'[1]ведом 3'!G293</f>
        <v>495.149</v>
      </c>
      <c r="G247" s="18">
        <f>+вед!H292</f>
        <v>495.149</v>
      </c>
      <c r="H247" s="257">
        <f t="shared" si="7"/>
        <v>100</v>
      </c>
    </row>
    <row r="248" spans="1:8" s="248" customFormat="1" x14ac:dyDescent="0.2">
      <c r="A248" s="10" t="s">
        <v>32</v>
      </c>
      <c r="B248" s="188" t="s">
        <v>30</v>
      </c>
      <c r="C248" s="211">
        <v>0</v>
      </c>
      <c r="D248" s="188"/>
      <c r="E248" s="188"/>
      <c r="F248" s="21">
        <f>+F249+F253</f>
        <v>577.529</v>
      </c>
      <c r="G248" s="21">
        <f>+G249+G253</f>
        <v>577.51495999999997</v>
      </c>
      <c r="H248" s="257">
        <f t="shared" si="7"/>
        <v>99.997568953247367</v>
      </c>
    </row>
    <row r="249" spans="1:8" x14ac:dyDescent="0.2">
      <c r="A249" s="7" t="s">
        <v>33</v>
      </c>
      <c r="B249" s="1" t="s">
        <v>30</v>
      </c>
      <c r="C249" s="1"/>
      <c r="D249" s="1"/>
      <c r="E249" s="1"/>
      <c r="F249" s="18">
        <f t="shared" ref="F249:G251" si="8">+F250</f>
        <v>529.22900000000004</v>
      </c>
      <c r="G249" s="18">
        <f t="shared" si="8"/>
        <v>529.22695999999996</v>
      </c>
      <c r="H249" s="257">
        <f t="shared" si="7"/>
        <v>99.999614533595079</v>
      </c>
    </row>
    <row r="250" spans="1:8" ht="25.5" x14ac:dyDescent="0.2">
      <c r="A250" s="7" t="s">
        <v>205</v>
      </c>
      <c r="B250" s="1" t="s">
        <v>30</v>
      </c>
      <c r="C250" s="1" t="s">
        <v>12</v>
      </c>
      <c r="D250" s="1" t="s">
        <v>115</v>
      </c>
      <c r="E250" s="1"/>
      <c r="F250" s="18">
        <f t="shared" si="8"/>
        <v>529.22900000000004</v>
      </c>
      <c r="G250" s="18">
        <f t="shared" si="8"/>
        <v>529.22695999999996</v>
      </c>
      <c r="H250" s="257">
        <f t="shared" si="7"/>
        <v>99.999614533595079</v>
      </c>
    </row>
    <row r="251" spans="1:8" x14ac:dyDescent="0.2">
      <c r="A251" s="7" t="s">
        <v>33</v>
      </c>
      <c r="B251" s="1" t="s">
        <v>30</v>
      </c>
      <c r="C251" s="1" t="s">
        <v>12</v>
      </c>
      <c r="D251" s="1" t="s">
        <v>114</v>
      </c>
      <c r="E251" s="1"/>
      <c r="F251" s="18">
        <f t="shared" si="8"/>
        <v>529.22900000000004</v>
      </c>
      <c r="G251" s="18">
        <f t="shared" si="8"/>
        <v>529.22695999999996</v>
      </c>
      <c r="H251" s="257">
        <f t="shared" si="7"/>
        <v>99.999614533595079</v>
      </c>
    </row>
    <row r="252" spans="1:8" ht="25.5" x14ac:dyDescent="0.2">
      <c r="A252" s="7" t="s">
        <v>13</v>
      </c>
      <c r="B252" s="1" t="s">
        <v>30</v>
      </c>
      <c r="C252" s="1" t="s">
        <v>12</v>
      </c>
      <c r="D252" s="1" t="s">
        <v>114</v>
      </c>
      <c r="E252" s="1">
        <v>600</v>
      </c>
      <c r="F252" s="18">
        <f>+'[1]ведом 3'!G32</f>
        <v>529.22900000000004</v>
      </c>
      <c r="G252" s="18">
        <f>+вед!H31</f>
        <v>529.22695999999996</v>
      </c>
      <c r="H252" s="257">
        <f t="shared" si="7"/>
        <v>99.999614533595079</v>
      </c>
    </row>
    <row r="253" spans="1:8" x14ac:dyDescent="0.2">
      <c r="A253" s="224" t="s">
        <v>497</v>
      </c>
      <c r="B253" s="1" t="s">
        <v>30</v>
      </c>
      <c r="C253" s="3" t="s">
        <v>19</v>
      </c>
      <c r="D253" s="38" t="s">
        <v>193</v>
      </c>
      <c r="E253" s="1"/>
      <c r="F253" s="18">
        <f>+F254</f>
        <v>48.3</v>
      </c>
      <c r="G253" s="18">
        <f>+G254</f>
        <v>48.287999999999997</v>
      </c>
      <c r="H253" s="257">
        <f t="shared" si="7"/>
        <v>99.975155279503099</v>
      </c>
    </row>
    <row r="254" spans="1:8" ht="25.5" x14ac:dyDescent="0.2">
      <c r="A254" s="7" t="s">
        <v>66</v>
      </c>
      <c r="B254" s="1" t="s">
        <v>30</v>
      </c>
      <c r="C254" s="3" t="s">
        <v>19</v>
      </c>
      <c r="D254" s="38" t="s">
        <v>193</v>
      </c>
      <c r="E254" s="1">
        <v>200</v>
      </c>
      <c r="F254" s="18">
        <f>+'[1]ведом 3'!G294</f>
        <v>48.3</v>
      </c>
      <c r="G254" s="18">
        <f>+вед!H294</f>
        <v>48.287999999999997</v>
      </c>
      <c r="H254" s="257">
        <f t="shared" si="7"/>
        <v>99.975155279503099</v>
      </c>
    </row>
    <row r="255" spans="1:8" s="248" customFormat="1" ht="25.5" x14ac:dyDescent="0.2">
      <c r="A255" s="10" t="s">
        <v>375</v>
      </c>
      <c r="B255" s="188">
        <v>13</v>
      </c>
      <c r="C255" s="20" t="s">
        <v>187</v>
      </c>
      <c r="D255" s="188" t="s">
        <v>6</v>
      </c>
      <c r="E255" s="188" t="s">
        <v>64</v>
      </c>
      <c r="F255" s="15">
        <f t="shared" ref="F255:G257" si="9">+F256</f>
        <v>0</v>
      </c>
      <c r="G255" s="15">
        <f t="shared" si="9"/>
        <v>0</v>
      </c>
      <c r="H255" s="257" t="e">
        <f t="shared" si="7"/>
        <v>#DIV/0!</v>
      </c>
    </row>
    <row r="256" spans="1:8" x14ac:dyDescent="0.2">
      <c r="A256" s="7" t="s">
        <v>454</v>
      </c>
      <c r="B256" s="1" t="s">
        <v>101</v>
      </c>
      <c r="C256" s="1" t="s">
        <v>23</v>
      </c>
      <c r="D256" s="1" t="s">
        <v>64</v>
      </c>
      <c r="E256" s="1" t="s">
        <v>8</v>
      </c>
      <c r="F256" s="18">
        <f t="shared" si="9"/>
        <v>0</v>
      </c>
      <c r="G256" s="18">
        <f t="shared" si="9"/>
        <v>0</v>
      </c>
      <c r="H256" s="257" t="e">
        <f t="shared" si="7"/>
        <v>#DIV/0!</v>
      </c>
    </row>
    <row r="257" spans="1:8" x14ac:dyDescent="0.2">
      <c r="A257" s="7" t="s">
        <v>455</v>
      </c>
      <c r="B257" s="1" t="s">
        <v>101</v>
      </c>
      <c r="C257" s="1" t="s">
        <v>23</v>
      </c>
      <c r="D257" s="1" t="s">
        <v>456</v>
      </c>
      <c r="E257" s="1" t="s">
        <v>8</v>
      </c>
      <c r="F257" s="18">
        <f t="shared" si="9"/>
        <v>0</v>
      </c>
      <c r="G257" s="18">
        <f t="shared" si="9"/>
        <v>0</v>
      </c>
      <c r="H257" s="257" t="e">
        <f t="shared" si="7"/>
        <v>#DIV/0!</v>
      </c>
    </row>
    <row r="258" spans="1:8" x14ac:dyDescent="0.2">
      <c r="A258" s="7" t="s">
        <v>457</v>
      </c>
      <c r="B258" s="1" t="s">
        <v>101</v>
      </c>
      <c r="C258" s="1" t="s">
        <v>23</v>
      </c>
      <c r="D258" s="1" t="s">
        <v>456</v>
      </c>
      <c r="E258" s="1" t="s">
        <v>392</v>
      </c>
      <c r="F258" s="18">
        <f>+'[1]ведом 3'!G187</f>
        <v>0</v>
      </c>
      <c r="G258" s="18">
        <f>+'[1]ведом 3'!H187</f>
        <v>0</v>
      </c>
      <c r="H258" s="257" t="e">
        <f t="shared" si="7"/>
        <v>#DIV/0!</v>
      </c>
    </row>
    <row r="259" spans="1:8" s="248" customFormat="1" ht="25.5" x14ac:dyDescent="0.2">
      <c r="A259" s="10" t="s">
        <v>76</v>
      </c>
      <c r="B259" s="188" t="s">
        <v>104</v>
      </c>
      <c r="C259" s="20" t="s">
        <v>187</v>
      </c>
      <c r="D259" s="188"/>
      <c r="E259" s="188"/>
      <c r="F259" s="21">
        <f>+F260+F265+F263</f>
        <v>23136.009070000004</v>
      </c>
      <c r="G259" s="21">
        <f>+G260+G265+G263</f>
        <v>22752.10815</v>
      </c>
      <c r="H259" s="257">
        <f t="shared" si="7"/>
        <v>98.340677863504993</v>
      </c>
    </row>
    <row r="260" spans="1:8" ht="25.5" x14ac:dyDescent="0.2">
      <c r="A260" s="7" t="s">
        <v>51</v>
      </c>
      <c r="B260" s="1" t="s">
        <v>104</v>
      </c>
      <c r="C260" s="3" t="s">
        <v>23</v>
      </c>
      <c r="D260" s="1" t="s">
        <v>106</v>
      </c>
      <c r="E260" s="1"/>
      <c r="F260" s="18">
        <f>+F261</f>
        <v>21864.74</v>
      </c>
      <c r="G260" s="18">
        <f>+G261</f>
        <v>21864.739079999999</v>
      </c>
      <c r="H260" s="257">
        <f t="shared" si="7"/>
        <v>99.999995792312177</v>
      </c>
    </row>
    <row r="261" spans="1:8" x14ac:dyDescent="0.2">
      <c r="A261" s="7" t="s">
        <v>52</v>
      </c>
      <c r="B261" s="1" t="s">
        <v>104</v>
      </c>
      <c r="C261" s="3" t="s">
        <v>23</v>
      </c>
      <c r="D261" s="1" t="s">
        <v>106</v>
      </c>
      <c r="E261" s="1"/>
      <c r="F261" s="18">
        <f>+F262</f>
        <v>21864.74</v>
      </c>
      <c r="G261" s="18">
        <f>+G262</f>
        <v>21864.739079999999</v>
      </c>
      <c r="H261" s="257">
        <f t="shared" si="7"/>
        <v>99.999995792312177</v>
      </c>
    </row>
    <row r="262" spans="1:8" x14ac:dyDescent="0.2">
      <c r="A262" s="7" t="s">
        <v>17</v>
      </c>
      <c r="B262" s="1" t="s">
        <v>104</v>
      </c>
      <c r="C262" s="3" t="s">
        <v>23</v>
      </c>
      <c r="D262" s="1" t="s">
        <v>106</v>
      </c>
      <c r="E262" s="1">
        <v>500</v>
      </c>
      <c r="F262" s="18">
        <f>+'[1]ведом 3'!G191</f>
        <v>21864.74</v>
      </c>
      <c r="G262" s="18">
        <f>+вед!H190</f>
        <v>21864.739079999999</v>
      </c>
      <c r="H262" s="257">
        <f t="shared" si="7"/>
        <v>99.999995792312177</v>
      </c>
    </row>
    <row r="263" spans="1:8" x14ac:dyDescent="0.2">
      <c r="A263" s="223" t="s">
        <v>458</v>
      </c>
      <c r="B263" s="1" t="s">
        <v>104</v>
      </c>
      <c r="C263" s="3" t="s">
        <v>12</v>
      </c>
      <c r="D263" s="1"/>
      <c r="E263" s="1"/>
      <c r="F263" s="18">
        <f>+F264</f>
        <v>383.9</v>
      </c>
      <c r="G263" s="18">
        <f>+G264</f>
        <v>0</v>
      </c>
      <c r="H263" s="257">
        <f t="shared" si="7"/>
        <v>0</v>
      </c>
    </row>
    <row r="264" spans="1:8" x14ac:dyDescent="0.2">
      <c r="A264" s="7" t="s">
        <v>17</v>
      </c>
      <c r="B264" s="1" t="s">
        <v>104</v>
      </c>
      <c r="C264" s="3" t="s">
        <v>12</v>
      </c>
      <c r="D264" s="1" t="s">
        <v>219</v>
      </c>
      <c r="E264" s="1">
        <v>500</v>
      </c>
      <c r="F264" s="18">
        <f>+'[1]ведом 3'!G193</f>
        <v>383.9</v>
      </c>
      <c r="G264" s="18">
        <f>+'[1]ведом 3'!H193</f>
        <v>0</v>
      </c>
      <c r="H264" s="257">
        <f t="shared" si="7"/>
        <v>0</v>
      </c>
    </row>
    <row r="265" spans="1:8" x14ac:dyDescent="0.2">
      <c r="A265" s="7" t="s">
        <v>53</v>
      </c>
      <c r="B265" s="1" t="s">
        <v>104</v>
      </c>
      <c r="C265" s="1" t="s">
        <v>98</v>
      </c>
      <c r="D265" s="1" t="s">
        <v>64</v>
      </c>
      <c r="E265" s="1" t="s">
        <v>8</v>
      </c>
      <c r="F265" s="18">
        <f>+F266+F268</f>
        <v>887.36906999999997</v>
      </c>
      <c r="G265" s="18">
        <f>+G266+G268</f>
        <v>887.36906999999997</v>
      </c>
      <c r="H265" s="257">
        <f t="shared" si="7"/>
        <v>100</v>
      </c>
    </row>
    <row r="266" spans="1:8" x14ac:dyDescent="0.2">
      <c r="A266" s="7" t="s">
        <v>147</v>
      </c>
      <c r="B266" s="1" t="s">
        <v>104</v>
      </c>
      <c r="C266" s="1" t="s">
        <v>98</v>
      </c>
      <c r="D266" s="1" t="s">
        <v>80</v>
      </c>
      <c r="E266" s="1"/>
      <c r="F266" s="18">
        <f>+F267</f>
        <v>6</v>
      </c>
      <c r="G266" s="18">
        <f>+G267</f>
        <v>6</v>
      </c>
      <c r="H266" s="257">
        <f t="shared" si="7"/>
        <v>100</v>
      </c>
    </row>
    <row r="267" spans="1:8" x14ac:dyDescent="0.2">
      <c r="A267" s="7" t="s">
        <v>17</v>
      </c>
      <c r="B267" s="1" t="s">
        <v>104</v>
      </c>
      <c r="C267" s="1" t="s">
        <v>98</v>
      </c>
      <c r="D267" s="1" t="s">
        <v>80</v>
      </c>
      <c r="E267" s="1">
        <v>500</v>
      </c>
      <c r="F267" s="18">
        <f>+'[1]ведом 3'!G196</f>
        <v>6</v>
      </c>
      <c r="G267" s="18">
        <f>+вед!H195</f>
        <v>6</v>
      </c>
      <c r="H267" s="257">
        <f t="shared" si="7"/>
        <v>100</v>
      </c>
    </row>
    <row r="268" spans="1:8" ht="63.75" x14ac:dyDescent="0.2">
      <c r="A268" s="7" t="s">
        <v>206</v>
      </c>
      <c r="B268" s="1" t="s">
        <v>104</v>
      </c>
      <c r="C268" s="1" t="s">
        <v>98</v>
      </c>
      <c r="D268" s="1" t="s">
        <v>148</v>
      </c>
      <c r="E268" s="1"/>
      <c r="F268" s="18">
        <f>+F269</f>
        <v>881.36906999999997</v>
      </c>
      <c r="G268" s="18">
        <f>+G269</f>
        <v>881.36906999999997</v>
      </c>
      <c r="H268" s="257">
        <f t="shared" ref="H268:H269" si="10">+G268/F268*100</f>
        <v>100</v>
      </c>
    </row>
    <row r="269" spans="1:8" x14ac:dyDescent="0.2">
      <c r="A269" s="7" t="s">
        <v>17</v>
      </c>
      <c r="B269" s="1" t="s">
        <v>104</v>
      </c>
      <c r="C269" s="1" t="s">
        <v>98</v>
      </c>
      <c r="D269" s="1" t="s">
        <v>148</v>
      </c>
      <c r="E269" s="1" t="s">
        <v>18</v>
      </c>
      <c r="F269" s="18">
        <f>+'[1]ведом 3'!G198</f>
        <v>881.36906999999997</v>
      </c>
      <c r="G269" s="18">
        <f>+вед!H197</f>
        <v>881.36906999999997</v>
      </c>
      <c r="H269" s="257">
        <f t="shared" si="10"/>
        <v>100</v>
      </c>
    </row>
    <row r="270" spans="1:8" x14ac:dyDescent="0.2">
      <c r="A270" s="33"/>
      <c r="B270" s="33"/>
      <c r="C270" s="33"/>
      <c r="D270" s="33"/>
      <c r="E270" s="33"/>
      <c r="F270" s="39"/>
    </row>
    <row r="271" spans="1:8" x14ac:dyDescent="0.2">
      <c r="A271" s="33"/>
      <c r="B271" s="33"/>
      <c r="C271" s="33"/>
      <c r="D271" s="33"/>
      <c r="E271" s="33"/>
      <c r="F271" s="39"/>
    </row>
    <row r="272" spans="1:8" x14ac:dyDescent="0.2">
      <c r="A272" s="33"/>
      <c r="B272" s="33"/>
      <c r="C272" s="33"/>
      <c r="D272" s="33"/>
      <c r="E272" s="33"/>
      <c r="F272" s="39"/>
    </row>
    <row r="273" spans="1:6" x14ac:dyDescent="0.2">
      <c r="A273" s="33"/>
      <c r="B273" s="33"/>
      <c r="C273" s="33"/>
      <c r="D273" s="33"/>
      <c r="E273" s="33"/>
      <c r="F273" s="39"/>
    </row>
    <row r="274" spans="1:6" x14ac:dyDescent="0.2">
      <c r="A274" s="33"/>
      <c r="B274" s="33"/>
      <c r="C274" s="33"/>
      <c r="D274" s="33"/>
      <c r="E274" s="33"/>
      <c r="F274" s="39"/>
    </row>
    <row r="275" spans="1:6" x14ac:dyDescent="0.2">
      <c r="A275" s="33"/>
      <c r="B275" s="33"/>
      <c r="C275" s="33"/>
      <c r="D275" s="33"/>
      <c r="E275" s="33"/>
      <c r="F275" s="39"/>
    </row>
    <row r="276" spans="1:6" x14ac:dyDescent="0.2">
      <c r="A276" s="33"/>
      <c r="B276" s="33"/>
      <c r="C276" s="33"/>
      <c r="D276" s="33"/>
      <c r="E276" s="33"/>
      <c r="F276" s="39"/>
    </row>
    <row r="277" spans="1:6" x14ac:dyDescent="0.2">
      <c r="A277" s="33"/>
      <c r="B277" s="33"/>
      <c r="C277" s="33"/>
      <c r="D277" s="33"/>
      <c r="E277" s="33"/>
      <c r="F277" s="39"/>
    </row>
    <row r="278" spans="1:6" x14ac:dyDescent="0.2">
      <c r="A278" s="33"/>
      <c r="B278" s="33"/>
      <c r="C278" s="33"/>
      <c r="D278" s="33"/>
      <c r="E278" s="33"/>
      <c r="F278" s="39"/>
    </row>
    <row r="279" spans="1:6" x14ac:dyDescent="0.2">
      <c r="A279" s="33"/>
      <c r="B279" s="33"/>
      <c r="C279" s="33"/>
      <c r="D279" s="33"/>
      <c r="E279" s="33"/>
      <c r="F279" s="39"/>
    </row>
    <row r="280" spans="1:6" x14ac:dyDescent="0.2">
      <c r="A280" s="33"/>
      <c r="B280" s="33"/>
      <c r="C280" s="33"/>
      <c r="D280" s="33"/>
      <c r="E280" s="33"/>
      <c r="F280" s="39"/>
    </row>
    <row r="281" spans="1:6" x14ac:dyDescent="0.2">
      <c r="A281" s="33"/>
      <c r="B281" s="33"/>
      <c r="C281" s="33"/>
      <c r="D281" s="33"/>
      <c r="E281" s="33"/>
      <c r="F281" s="39"/>
    </row>
    <row r="282" spans="1:6" x14ac:dyDescent="0.2">
      <c r="A282" s="33"/>
      <c r="B282" s="33"/>
      <c r="C282" s="33"/>
      <c r="D282" s="33"/>
      <c r="E282" s="33"/>
      <c r="F282" s="39"/>
    </row>
    <row r="283" spans="1:6" x14ac:dyDescent="0.2">
      <c r="A283" s="33"/>
      <c r="B283" s="33"/>
      <c r="C283" s="33"/>
      <c r="D283" s="33"/>
      <c r="E283" s="33"/>
      <c r="F283" s="39"/>
    </row>
    <row r="284" spans="1:6" x14ac:dyDescent="0.2">
      <c r="A284" s="33"/>
      <c r="B284" s="33"/>
      <c r="C284" s="33"/>
      <c r="D284" s="33"/>
      <c r="E284" s="33"/>
      <c r="F284" s="39"/>
    </row>
    <row r="285" spans="1:6" x14ac:dyDescent="0.2">
      <c r="A285" s="33"/>
      <c r="B285" s="33"/>
      <c r="C285" s="33"/>
      <c r="D285" s="33"/>
      <c r="E285" s="33"/>
      <c r="F285" s="39"/>
    </row>
    <row r="286" spans="1:6" x14ac:dyDescent="0.2">
      <c r="A286" s="33"/>
      <c r="B286" s="33"/>
      <c r="C286" s="33"/>
      <c r="D286" s="33"/>
      <c r="E286" s="33"/>
      <c r="F286" s="39"/>
    </row>
    <row r="287" spans="1:6" x14ac:dyDescent="0.2">
      <c r="A287" s="33"/>
      <c r="B287" s="33"/>
      <c r="C287" s="33"/>
      <c r="D287" s="33"/>
      <c r="E287" s="33"/>
      <c r="F287" s="39"/>
    </row>
    <row r="288" spans="1:6" x14ac:dyDescent="0.2">
      <c r="A288" s="33"/>
      <c r="B288" s="33"/>
      <c r="C288" s="33"/>
      <c r="D288" s="33"/>
      <c r="E288" s="33"/>
      <c r="F288" s="39"/>
    </row>
    <row r="289" spans="1:6" x14ac:dyDescent="0.2">
      <c r="A289" s="33"/>
      <c r="B289" s="33"/>
      <c r="C289" s="33"/>
      <c r="D289" s="33"/>
      <c r="E289" s="33"/>
      <c r="F289" s="39"/>
    </row>
    <row r="290" spans="1:6" x14ac:dyDescent="0.2">
      <c r="A290" s="33"/>
      <c r="B290" s="33"/>
      <c r="C290" s="33"/>
      <c r="D290" s="33"/>
      <c r="E290" s="33"/>
      <c r="F290" s="39"/>
    </row>
    <row r="291" spans="1:6" x14ac:dyDescent="0.2">
      <c r="A291" s="33"/>
      <c r="B291" s="33"/>
      <c r="C291" s="33"/>
      <c r="D291" s="33"/>
      <c r="E291" s="33"/>
      <c r="F291" s="39"/>
    </row>
    <row r="292" spans="1:6" x14ac:dyDescent="0.2">
      <c r="A292" s="33"/>
      <c r="B292" s="33"/>
      <c r="C292" s="33"/>
      <c r="D292" s="33"/>
      <c r="E292" s="33"/>
      <c r="F292" s="39"/>
    </row>
    <row r="293" spans="1:6" x14ac:dyDescent="0.2">
      <c r="A293" s="33"/>
      <c r="B293" s="33"/>
      <c r="C293" s="33"/>
      <c r="D293" s="33"/>
      <c r="E293" s="33"/>
      <c r="F293" s="39"/>
    </row>
    <row r="294" spans="1:6" x14ac:dyDescent="0.2">
      <c r="A294" s="33"/>
      <c r="B294" s="33"/>
      <c r="C294" s="33"/>
      <c r="D294" s="33"/>
      <c r="E294" s="33"/>
      <c r="F294" s="39"/>
    </row>
    <row r="295" spans="1:6" x14ac:dyDescent="0.2">
      <c r="A295" s="33"/>
      <c r="B295" s="33"/>
      <c r="C295" s="33"/>
      <c r="D295" s="33"/>
      <c r="E295" s="33"/>
      <c r="F295" s="39"/>
    </row>
    <row r="296" spans="1:6" x14ac:dyDescent="0.2">
      <c r="A296" s="33"/>
      <c r="B296" s="33"/>
      <c r="C296" s="33"/>
      <c r="D296" s="33"/>
      <c r="E296" s="33"/>
      <c r="F296" s="39"/>
    </row>
    <row r="297" spans="1:6" x14ac:dyDescent="0.2">
      <c r="A297" s="33"/>
      <c r="B297" s="33"/>
      <c r="C297" s="33"/>
      <c r="D297" s="33"/>
      <c r="E297" s="33"/>
      <c r="F297" s="39"/>
    </row>
    <row r="298" spans="1:6" x14ac:dyDescent="0.2">
      <c r="A298" s="33"/>
      <c r="B298" s="33"/>
      <c r="C298" s="33"/>
      <c r="D298" s="33"/>
      <c r="E298" s="33"/>
      <c r="F298" s="39"/>
    </row>
    <row r="299" spans="1:6" x14ac:dyDescent="0.2">
      <c r="A299" s="33"/>
      <c r="B299" s="33"/>
      <c r="C299" s="33"/>
      <c r="D299" s="33"/>
      <c r="E299" s="33"/>
      <c r="F299" s="39"/>
    </row>
    <row r="300" spans="1:6" x14ac:dyDescent="0.2">
      <c r="A300" s="33"/>
      <c r="B300" s="33"/>
      <c r="C300" s="33"/>
      <c r="D300" s="33"/>
      <c r="E300" s="33"/>
      <c r="F300" s="39"/>
    </row>
    <row r="301" spans="1:6" x14ac:dyDescent="0.2">
      <c r="A301" s="33"/>
      <c r="B301" s="33"/>
      <c r="C301" s="33"/>
      <c r="D301" s="33"/>
      <c r="E301" s="33"/>
      <c r="F301" s="39"/>
    </row>
    <row r="302" spans="1:6" x14ac:dyDescent="0.2">
      <c r="A302" s="33"/>
      <c r="B302" s="33"/>
      <c r="C302" s="33"/>
      <c r="D302" s="33"/>
      <c r="E302" s="33"/>
      <c r="F302" s="39"/>
    </row>
    <row r="303" spans="1:6" x14ac:dyDescent="0.2">
      <c r="A303" s="33"/>
      <c r="B303" s="33"/>
      <c r="C303" s="33"/>
      <c r="D303" s="33"/>
      <c r="E303" s="33"/>
      <c r="F303" s="39"/>
    </row>
    <row r="304" spans="1:6" x14ac:dyDescent="0.2">
      <c r="A304" s="33"/>
      <c r="B304" s="33"/>
      <c r="C304" s="33"/>
      <c r="D304" s="33"/>
      <c r="E304" s="33"/>
      <c r="F304" s="39"/>
    </row>
    <row r="305" spans="1:6" x14ac:dyDescent="0.2">
      <c r="A305" s="33"/>
      <c r="B305" s="33"/>
      <c r="C305" s="33"/>
      <c r="D305" s="33"/>
      <c r="E305" s="33"/>
      <c r="F305" s="39"/>
    </row>
    <row r="306" spans="1:6" x14ac:dyDescent="0.2">
      <c r="A306" s="33"/>
      <c r="B306" s="33"/>
      <c r="C306" s="33"/>
      <c r="D306" s="33"/>
      <c r="E306" s="33"/>
      <c r="F306" s="39"/>
    </row>
    <row r="307" spans="1:6" x14ac:dyDescent="0.2">
      <c r="A307" s="33"/>
      <c r="B307" s="33"/>
      <c r="C307" s="33"/>
      <c r="D307" s="33"/>
      <c r="E307" s="33"/>
      <c r="F307" s="39"/>
    </row>
    <row r="308" spans="1:6" x14ac:dyDescent="0.2">
      <c r="A308" s="33"/>
      <c r="B308" s="33"/>
      <c r="C308" s="33"/>
      <c r="D308" s="33"/>
      <c r="E308" s="33"/>
      <c r="F308" s="39"/>
    </row>
    <row r="309" spans="1:6" x14ac:dyDescent="0.2">
      <c r="A309" s="33"/>
      <c r="B309" s="33"/>
      <c r="C309" s="33"/>
      <c r="D309" s="33"/>
      <c r="E309" s="33"/>
      <c r="F309" s="39"/>
    </row>
    <row r="310" spans="1:6" x14ac:dyDescent="0.2">
      <c r="A310" s="33"/>
      <c r="B310" s="33"/>
      <c r="C310" s="33"/>
      <c r="D310" s="33"/>
      <c r="E310" s="33"/>
      <c r="F310" s="39"/>
    </row>
    <row r="311" spans="1:6" x14ac:dyDescent="0.2">
      <c r="A311" s="33"/>
      <c r="B311" s="33"/>
      <c r="C311" s="33"/>
      <c r="D311" s="33"/>
      <c r="E311" s="33"/>
      <c r="F311" s="39"/>
    </row>
    <row r="312" spans="1:6" x14ac:dyDescent="0.2">
      <c r="A312" s="33"/>
      <c r="B312" s="33"/>
      <c r="C312" s="33"/>
      <c r="D312" s="33"/>
      <c r="E312" s="33"/>
      <c r="F312" s="39"/>
    </row>
    <row r="313" spans="1:6" x14ac:dyDescent="0.2">
      <c r="A313" s="33"/>
      <c r="B313" s="33"/>
      <c r="C313" s="33"/>
      <c r="D313" s="33"/>
      <c r="E313" s="33"/>
      <c r="F313" s="39"/>
    </row>
    <row r="314" spans="1:6" x14ac:dyDescent="0.2">
      <c r="A314" s="33"/>
      <c r="B314" s="33"/>
      <c r="C314" s="33"/>
      <c r="D314" s="33"/>
      <c r="E314" s="33"/>
      <c r="F314" s="39"/>
    </row>
    <row r="315" spans="1:6" x14ac:dyDescent="0.2">
      <c r="A315" s="33"/>
      <c r="B315" s="33"/>
      <c r="C315" s="33"/>
      <c r="D315" s="33"/>
      <c r="E315" s="33"/>
      <c r="F315" s="39"/>
    </row>
    <row r="316" spans="1:6" x14ac:dyDescent="0.2">
      <c r="A316" s="33"/>
      <c r="B316" s="33"/>
      <c r="C316" s="33"/>
      <c r="D316" s="33"/>
      <c r="E316" s="33"/>
      <c r="F316" s="39"/>
    </row>
    <row r="317" spans="1:6" x14ac:dyDescent="0.2">
      <c r="A317" s="33"/>
      <c r="B317" s="33"/>
      <c r="C317" s="33"/>
      <c r="D317" s="33"/>
      <c r="E317" s="33"/>
      <c r="F317" s="39"/>
    </row>
    <row r="318" spans="1:6" x14ac:dyDescent="0.2">
      <c r="A318" s="33"/>
      <c r="B318" s="33"/>
      <c r="C318" s="33"/>
      <c r="D318" s="33"/>
      <c r="E318" s="33"/>
      <c r="F318" s="39"/>
    </row>
    <row r="319" spans="1:6" x14ac:dyDescent="0.2">
      <c r="A319" s="33"/>
      <c r="B319" s="33"/>
      <c r="C319" s="33"/>
      <c r="D319" s="33"/>
      <c r="E319" s="33"/>
      <c r="F319" s="39"/>
    </row>
    <row r="320" spans="1:6" x14ac:dyDescent="0.2">
      <c r="A320" s="33"/>
      <c r="B320" s="33"/>
      <c r="C320" s="33"/>
      <c r="D320" s="33"/>
      <c r="E320" s="33"/>
      <c r="F320" s="39"/>
    </row>
    <row r="321" spans="1:6" x14ac:dyDescent="0.2">
      <c r="A321" s="33"/>
      <c r="B321" s="33"/>
      <c r="C321" s="33"/>
      <c r="D321" s="33"/>
      <c r="E321" s="33"/>
      <c r="F321" s="39"/>
    </row>
    <row r="322" spans="1:6" x14ac:dyDescent="0.2">
      <c r="A322" s="33"/>
      <c r="B322" s="33"/>
      <c r="C322" s="33"/>
      <c r="D322" s="33"/>
      <c r="E322" s="33"/>
      <c r="F322" s="39"/>
    </row>
    <row r="323" spans="1:6" x14ac:dyDescent="0.2">
      <c r="A323" s="33"/>
      <c r="B323" s="33"/>
      <c r="C323" s="33"/>
      <c r="D323" s="33"/>
      <c r="E323" s="33"/>
      <c r="F323" s="39"/>
    </row>
    <row r="324" spans="1:6" x14ac:dyDescent="0.2">
      <c r="A324" s="33"/>
      <c r="B324" s="33"/>
      <c r="C324" s="33"/>
      <c r="D324" s="33"/>
      <c r="E324" s="33"/>
      <c r="F324" s="39"/>
    </row>
    <row r="325" spans="1:6" x14ac:dyDescent="0.2">
      <c r="A325" s="33"/>
      <c r="B325" s="33"/>
      <c r="C325" s="33"/>
      <c r="D325" s="33"/>
      <c r="E325" s="33"/>
      <c r="F325" s="39"/>
    </row>
    <row r="326" spans="1:6" x14ac:dyDescent="0.2">
      <c r="A326" s="33"/>
      <c r="B326" s="33"/>
      <c r="C326" s="33"/>
      <c r="D326" s="33"/>
      <c r="E326" s="33"/>
      <c r="F326" s="39"/>
    </row>
    <row r="327" spans="1:6" x14ac:dyDescent="0.2">
      <c r="A327" s="33"/>
      <c r="B327" s="33"/>
      <c r="C327" s="33"/>
      <c r="D327" s="33"/>
      <c r="E327" s="33"/>
      <c r="F327" s="39"/>
    </row>
    <row r="328" spans="1:6" x14ac:dyDescent="0.2">
      <c r="A328" s="33"/>
      <c r="B328" s="33"/>
      <c r="C328" s="33"/>
      <c r="D328" s="33"/>
      <c r="E328" s="33"/>
      <c r="F328" s="39"/>
    </row>
    <row r="329" spans="1:6" x14ac:dyDescent="0.2">
      <c r="A329" s="33"/>
      <c r="B329" s="33"/>
      <c r="C329" s="33"/>
      <c r="D329" s="33"/>
      <c r="E329" s="33"/>
      <c r="F329" s="39"/>
    </row>
    <row r="330" spans="1:6" x14ac:dyDescent="0.2">
      <c r="A330" s="33"/>
      <c r="B330" s="33"/>
      <c r="C330" s="33"/>
      <c r="D330" s="33"/>
      <c r="E330" s="33"/>
      <c r="F330" s="39"/>
    </row>
    <row r="331" spans="1:6" x14ac:dyDescent="0.2">
      <c r="A331" s="33"/>
      <c r="B331" s="33"/>
      <c r="C331" s="33"/>
      <c r="D331" s="33"/>
      <c r="E331" s="33"/>
      <c r="F331" s="39"/>
    </row>
    <row r="332" spans="1:6" x14ac:dyDescent="0.2">
      <c r="A332" s="33"/>
      <c r="B332" s="33"/>
      <c r="C332" s="33"/>
      <c r="D332" s="33"/>
      <c r="E332" s="33"/>
      <c r="F332" s="39"/>
    </row>
    <row r="333" spans="1:6" x14ac:dyDescent="0.2">
      <c r="A333" s="33"/>
      <c r="B333" s="33"/>
      <c r="C333" s="33"/>
      <c r="D333" s="33"/>
      <c r="E333" s="33"/>
      <c r="F333" s="39"/>
    </row>
    <row r="334" spans="1:6" x14ac:dyDescent="0.2">
      <c r="A334" s="33"/>
      <c r="B334" s="33"/>
      <c r="C334" s="33"/>
      <c r="D334" s="33"/>
      <c r="E334" s="33"/>
      <c r="F334" s="39"/>
    </row>
    <row r="335" spans="1:6" x14ac:dyDescent="0.2">
      <c r="A335" s="33"/>
      <c r="B335" s="33"/>
      <c r="C335" s="33"/>
      <c r="D335" s="33"/>
      <c r="E335" s="33"/>
      <c r="F335" s="39"/>
    </row>
    <row r="336" spans="1:6" x14ac:dyDescent="0.2">
      <c r="A336" s="33"/>
      <c r="B336" s="33"/>
      <c r="C336" s="33"/>
      <c r="D336" s="33"/>
      <c r="E336" s="33"/>
      <c r="F336" s="39"/>
    </row>
    <row r="337" spans="1:6" x14ac:dyDescent="0.2">
      <c r="A337" s="33"/>
      <c r="B337" s="33"/>
      <c r="C337" s="33"/>
      <c r="D337" s="33"/>
      <c r="E337" s="33"/>
      <c r="F337" s="39"/>
    </row>
    <row r="338" spans="1:6" x14ac:dyDescent="0.2">
      <c r="A338" s="33"/>
      <c r="B338" s="33"/>
      <c r="C338" s="33"/>
      <c r="D338" s="33"/>
      <c r="E338" s="33"/>
      <c r="F338" s="39"/>
    </row>
    <row r="339" spans="1:6" x14ac:dyDescent="0.2">
      <c r="A339" s="33"/>
      <c r="B339" s="33"/>
      <c r="C339" s="33"/>
      <c r="D339" s="33"/>
      <c r="E339" s="33"/>
      <c r="F339" s="39"/>
    </row>
    <row r="340" spans="1:6" x14ac:dyDescent="0.2">
      <c r="A340" s="33"/>
      <c r="B340" s="33"/>
      <c r="C340" s="33"/>
      <c r="D340" s="33"/>
      <c r="E340" s="33"/>
      <c r="F340" s="39"/>
    </row>
    <row r="341" spans="1:6" x14ac:dyDescent="0.2">
      <c r="F341" s="255"/>
    </row>
    <row r="342" spans="1:6" x14ac:dyDescent="0.2">
      <c r="F342" s="255"/>
    </row>
    <row r="343" spans="1:6" x14ac:dyDescent="0.2">
      <c r="F343" s="255"/>
    </row>
    <row r="344" spans="1:6" x14ac:dyDescent="0.2">
      <c r="F344" s="255"/>
    </row>
    <row r="345" spans="1:6" x14ac:dyDescent="0.2">
      <c r="F345" s="255"/>
    </row>
    <row r="346" spans="1:6" x14ac:dyDescent="0.2">
      <c r="F346" s="255"/>
    </row>
    <row r="347" spans="1:6" x14ac:dyDescent="0.2">
      <c r="F347" s="255"/>
    </row>
    <row r="348" spans="1:6" x14ac:dyDescent="0.2">
      <c r="F348" s="255"/>
    </row>
    <row r="349" spans="1:6" x14ac:dyDescent="0.2">
      <c r="F349" s="255"/>
    </row>
    <row r="350" spans="1:6" x14ac:dyDescent="0.2">
      <c r="F350" s="255"/>
    </row>
    <row r="351" spans="1:6" x14ac:dyDescent="0.2">
      <c r="F351" s="255"/>
    </row>
    <row r="352" spans="1:6" x14ac:dyDescent="0.2">
      <c r="F352" s="255"/>
    </row>
    <row r="353" spans="6:6" x14ac:dyDescent="0.2">
      <c r="F353" s="255"/>
    </row>
    <row r="354" spans="6:6" x14ac:dyDescent="0.2">
      <c r="F354" s="255"/>
    </row>
    <row r="355" spans="6:6" x14ac:dyDescent="0.2">
      <c r="F355" s="255"/>
    </row>
    <row r="356" spans="6:6" x14ac:dyDescent="0.2">
      <c r="F356" s="255"/>
    </row>
    <row r="357" spans="6:6" x14ac:dyDescent="0.2">
      <c r="F357" s="255"/>
    </row>
    <row r="358" spans="6:6" x14ac:dyDescent="0.2">
      <c r="F358" s="255"/>
    </row>
    <row r="359" spans="6:6" x14ac:dyDescent="0.2">
      <c r="F359" s="255"/>
    </row>
    <row r="360" spans="6:6" x14ac:dyDescent="0.2">
      <c r="F360" s="255"/>
    </row>
    <row r="361" spans="6:6" x14ac:dyDescent="0.2">
      <c r="F361" s="255"/>
    </row>
    <row r="362" spans="6:6" x14ac:dyDescent="0.2">
      <c r="F362" s="255"/>
    </row>
    <row r="363" spans="6:6" x14ac:dyDescent="0.2">
      <c r="F363" s="255"/>
    </row>
    <row r="364" spans="6:6" x14ac:dyDescent="0.2">
      <c r="F364" s="255"/>
    </row>
    <row r="365" spans="6:6" x14ac:dyDescent="0.2">
      <c r="F365" s="255"/>
    </row>
    <row r="366" spans="6:6" x14ac:dyDescent="0.2">
      <c r="F366" s="255"/>
    </row>
    <row r="367" spans="6:6" x14ac:dyDescent="0.2">
      <c r="F367" s="255"/>
    </row>
  </sheetData>
  <mergeCells count="13">
    <mergeCell ref="G1:H1"/>
    <mergeCell ref="G9:G10"/>
    <mergeCell ref="H9:H10"/>
    <mergeCell ref="F9:F10"/>
    <mergeCell ref="A7:F7"/>
    <mergeCell ref="A9:A10"/>
    <mergeCell ref="B9:B10"/>
    <mergeCell ref="C9:C10"/>
    <mergeCell ref="D9:D10"/>
    <mergeCell ref="E9:E10"/>
    <mergeCell ref="A5:H5"/>
    <mergeCell ref="A6:H6"/>
    <mergeCell ref="F3:H3"/>
  </mergeCells>
  <pageMargins left="0.59055118110236227" right="0.19685039370078741" top="0.19685039370078741" bottom="0.19685039370078741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zoomScaleNormal="100" zoomScaleSheetLayoutView="100" workbookViewId="0">
      <selection activeCell="G7" sqref="G7"/>
    </sheetView>
  </sheetViews>
  <sheetFormatPr defaultRowHeight="12.75" x14ac:dyDescent="0.2"/>
  <cols>
    <col min="1" max="1" width="57" style="33" customWidth="1"/>
    <col min="2" max="2" width="4.85546875" style="33" customWidth="1"/>
    <col min="3" max="3" width="5.85546875" style="33" customWidth="1"/>
    <col min="4" max="4" width="3.7109375" style="33" customWidth="1"/>
    <col min="5" max="5" width="12.85546875" style="33" customWidth="1"/>
    <col min="6" max="6" width="5.28515625" style="33" customWidth="1"/>
    <col min="7" max="7" width="11.5703125" style="33" customWidth="1"/>
    <col min="8" max="8" width="12.5703125" style="33" bestFit="1" customWidth="1"/>
    <col min="9" max="9" width="9.140625" style="33"/>
    <col min="10" max="10" width="11.5703125" style="33" bestFit="1" customWidth="1"/>
    <col min="11" max="250" width="9.140625" style="33"/>
    <col min="251" max="251" width="65.7109375" style="33" customWidth="1"/>
    <col min="252" max="252" width="4.85546875" style="33" customWidth="1"/>
    <col min="253" max="254" width="3.7109375" style="33" customWidth="1"/>
    <col min="255" max="255" width="11.42578125" style="33" customWidth="1"/>
    <col min="256" max="256" width="3.7109375" style="33" customWidth="1"/>
    <col min="257" max="257" width="11.5703125" style="33" customWidth="1"/>
    <col min="258" max="506" width="9.140625" style="33"/>
    <col min="507" max="507" width="65.7109375" style="33" customWidth="1"/>
    <col min="508" max="508" width="4.85546875" style="33" customWidth="1"/>
    <col min="509" max="510" width="3.7109375" style="33" customWidth="1"/>
    <col min="511" max="511" width="11.42578125" style="33" customWidth="1"/>
    <col min="512" max="512" width="3.7109375" style="33" customWidth="1"/>
    <col min="513" max="513" width="11.5703125" style="33" customWidth="1"/>
    <col min="514" max="762" width="9.140625" style="33"/>
    <col min="763" max="763" width="65.7109375" style="33" customWidth="1"/>
    <col min="764" max="764" width="4.85546875" style="33" customWidth="1"/>
    <col min="765" max="766" width="3.7109375" style="33" customWidth="1"/>
    <col min="767" max="767" width="11.42578125" style="33" customWidth="1"/>
    <col min="768" max="768" width="3.7109375" style="33" customWidth="1"/>
    <col min="769" max="769" width="11.5703125" style="33" customWidth="1"/>
    <col min="770" max="1018" width="9.140625" style="33"/>
    <col min="1019" max="1019" width="65.7109375" style="33" customWidth="1"/>
    <col min="1020" max="1020" width="4.85546875" style="33" customWidth="1"/>
    <col min="1021" max="1022" width="3.7109375" style="33" customWidth="1"/>
    <col min="1023" max="1023" width="11.42578125" style="33" customWidth="1"/>
    <col min="1024" max="1024" width="3.7109375" style="33" customWidth="1"/>
    <col min="1025" max="1025" width="11.5703125" style="33" customWidth="1"/>
    <col min="1026" max="1274" width="9.140625" style="33"/>
    <col min="1275" max="1275" width="65.7109375" style="33" customWidth="1"/>
    <col min="1276" max="1276" width="4.85546875" style="33" customWidth="1"/>
    <col min="1277" max="1278" width="3.7109375" style="33" customWidth="1"/>
    <col min="1279" max="1279" width="11.42578125" style="33" customWidth="1"/>
    <col min="1280" max="1280" width="3.7109375" style="33" customWidth="1"/>
    <col min="1281" max="1281" width="11.5703125" style="33" customWidth="1"/>
    <col min="1282" max="1530" width="9.140625" style="33"/>
    <col min="1531" max="1531" width="65.7109375" style="33" customWidth="1"/>
    <col min="1532" max="1532" width="4.85546875" style="33" customWidth="1"/>
    <col min="1533" max="1534" width="3.7109375" style="33" customWidth="1"/>
    <col min="1535" max="1535" width="11.42578125" style="33" customWidth="1"/>
    <col min="1536" max="1536" width="3.7109375" style="33" customWidth="1"/>
    <col min="1537" max="1537" width="11.5703125" style="33" customWidth="1"/>
    <col min="1538" max="1786" width="9.140625" style="33"/>
    <col min="1787" max="1787" width="65.7109375" style="33" customWidth="1"/>
    <col min="1788" max="1788" width="4.85546875" style="33" customWidth="1"/>
    <col min="1789" max="1790" width="3.7109375" style="33" customWidth="1"/>
    <col min="1791" max="1791" width="11.42578125" style="33" customWidth="1"/>
    <col min="1792" max="1792" width="3.7109375" style="33" customWidth="1"/>
    <col min="1793" max="1793" width="11.5703125" style="33" customWidth="1"/>
    <col min="1794" max="2042" width="9.140625" style="33"/>
    <col min="2043" max="2043" width="65.7109375" style="33" customWidth="1"/>
    <col min="2044" max="2044" width="4.85546875" style="33" customWidth="1"/>
    <col min="2045" max="2046" width="3.7109375" style="33" customWidth="1"/>
    <col min="2047" max="2047" width="11.42578125" style="33" customWidth="1"/>
    <col min="2048" max="2048" width="3.7109375" style="33" customWidth="1"/>
    <col min="2049" max="2049" width="11.5703125" style="33" customWidth="1"/>
    <col min="2050" max="2298" width="9.140625" style="33"/>
    <col min="2299" max="2299" width="65.7109375" style="33" customWidth="1"/>
    <col min="2300" max="2300" width="4.85546875" style="33" customWidth="1"/>
    <col min="2301" max="2302" width="3.7109375" style="33" customWidth="1"/>
    <col min="2303" max="2303" width="11.42578125" style="33" customWidth="1"/>
    <col min="2304" max="2304" width="3.7109375" style="33" customWidth="1"/>
    <col min="2305" max="2305" width="11.5703125" style="33" customWidth="1"/>
    <col min="2306" max="2554" width="9.140625" style="33"/>
    <col min="2555" max="2555" width="65.7109375" style="33" customWidth="1"/>
    <col min="2556" max="2556" width="4.85546875" style="33" customWidth="1"/>
    <col min="2557" max="2558" width="3.7109375" style="33" customWidth="1"/>
    <col min="2559" max="2559" width="11.42578125" style="33" customWidth="1"/>
    <col min="2560" max="2560" width="3.7109375" style="33" customWidth="1"/>
    <col min="2561" max="2561" width="11.5703125" style="33" customWidth="1"/>
    <col min="2562" max="2810" width="9.140625" style="33"/>
    <col min="2811" max="2811" width="65.7109375" style="33" customWidth="1"/>
    <col min="2812" max="2812" width="4.85546875" style="33" customWidth="1"/>
    <col min="2813" max="2814" width="3.7109375" style="33" customWidth="1"/>
    <col min="2815" max="2815" width="11.42578125" style="33" customWidth="1"/>
    <col min="2816" max="2816" width="3.7109375" style="33" customWidth="1"/>
    <col min="2817" max="2817" width="11.5703125" style="33" customWidth="1"/>
    <col min="2818" max="3066" width="9.140625" style="33"/>
    <col min="3067" max="3067" width="65.7109375" style="33" customWidth="1"/>
    <col min="3068" max="3068" width="4.85546875" style="33" customWidth="1"/>
    <col min="3069" max="3070" width="3.7109375" style="33" customWidth="1"/>
    <col min="3071" max="3071" width="11.42578125" style="33" customWidth="1"/>
    <col min="3072" max="3072" width="3.7109375" style="33" customWidth="1"/>
    <col min="3073" max="3073" width="11.5703125" style="33" customWidth="1"/>
    <col min="3074" max="3322" width="9.140625" style="33"/>
    <col min="3323" max="3323" width="65.7109375" style="33" customWidth="1"/>
    <col min="3324" max="3324" width="4.85546875" style="33" customWidth="1"/>
    <col min="3325" max="3326" width="3.7109375" style="33" customWidth="1"/>
    <col min="3327" max="3327" width="11.42578125" style="33" customWidth="1"/>
    <col min="3328" max="3328" width="3.7109375" style="33" customWidth="1"/>
    <col min="3329" max="3329" width="11.5703125" style="33" customWidth="1"/>
    <col min="3330" max="3578" width="9.140625" style="33"/>
    <col min="3579" max="3579" width="65.7109375" style="33" customWidth="1"/>
    <col min="3580" max="3580" width="4.85546875" style="33" customWidth="1"/>
    <col min="3581" max="3582" width="3.7109375" style="33" customWidth="1"/>
    <col min="3583" max="3583" width="11.42578125" style="33" customWidth="1"/>
    <col min="3584" max="3584" width="3.7109375" style="33" customWidth="1"/>
    <col min="3585" max="3585" width="11.5703125" style="33" customWidth="1"/>
    <col min="3586" max="3834" width="9.140625" style="33"/>
    <col min="3835" max="3835" width="65.7109375" style="33" customWidth="1"/>
    <col min="3836" max="3836" width="4.85546875" style="33" customWidth="1"/>
    <col min="3837" max="3838" width="3.7109375" style="33" customWidth="1"/>
    <col min="3839" max="3839" width="11.42578125" style="33" customWidth="1"/>
    <col min="3840" max="3840" width="3.7109375" style="33" customWidth="1"/>
    <col min="3841" max="3841" width="11.5703125" style="33" customWidth="1"/>
    <col min="3842" max="4090" width="9.140625" style="33"/>
    <col min="4091" max="4091" width="65.7109375" style="33" customWidth="1"/>
    <col min="4092" max="4092" width="4.85546875" style="33" customWidth="1"/>
    <col min="4093" max="4094" width="3.7109375" style="33" customWidth="1"/>
    <col min="4095" max="4095" width="11.42578125" style="33" customWidth="1"/>
    <col min="4096" max="4096" width="3.7109375" style="33" customWidth="1"/>
    <col min="4097" max="4097" width="11.5703125" style="33" customWidth="1"/>
    <col min="4098" max="4346" width="9.140625" style="33"/>
    <col min="4347" max="4347" width="65.7109375" style="33" customWidth="1"/>
    <col min="4348" max="4348" width="4.85546875" style="33" customWidth="1"/>
    <col min="4349" max="4350" width="3.7109375" style="33" customWidth="1"/>
    <col min="4351" max="4351" width="11.42578125" style="33" customWidth="1"/>
    <col min="4352" max="4352" width="3.7109375" style="33" customWidth="1"/>
    <col min="4353" max="4353" width="11.5703125" style="33" customWidth="1"/>
    <col min="4354" max="4602" width="9.140625" style="33"/>
    <col min="4603" max="4603" width="65.7109375" style="33" customWidth="1"/>
    <col min="4604" max="4604" width="4.85546875" style="33" customWidth="1"/>
    <col min="4605" max="4606" width="3.7109375" style="33" customWidth="1"/>
    <col min="4607" max="4607" width="11.42578125" style="33" customWidth="1"/>
    <col min="4608" max="4608" width="3.7109375" style="33" customWidth="1"/>
    <col min="4609" max="4609" width="11.5703125" style="33" customWidth="1"/>
    <col min="4610" max="4858" width="9.140625" style="33"/>
    <col min="4859" max="4859" width="65.7109375" style="33" customWidth="1"/>
    <col min="4860" max="4860" width="4.85546875" style="33" customWidth="1"/>
    <col min="4861" max="4862" width="3.7109375" style="33" customWidth="1"/>
    <col min="4863" max="4863" width="11.42578125" style="33" customWidth="1"/>
    <col min="4864" max="4864" width="3.7109375" style="33" customWidth="1"/>
    <col min="4865" max="4865" width="11.5703125" style="33" customWidth="1"/>
    <col min="4866" max="5114" width="9.140625" style="33"/>
    <col min="5115" max="5115" width="65.7109375" style="33" customWidth="1"/>
    <col min="5116" max="5116" width="4.85546875" style="33" customWidth="1"/>
    <col min="5117" max="5118" width="3.7109375" style="33" customWidth="1"/>
    <col min="5119" max="5119" width="11.42578125" style="33" customWidth="1"/>
    <col min="5120" max="5120" width="3.7109375" style="33" customWidth="1"/>
    <col min="5121" max="5121" width="11.5703125" style="33" customWidth="1"/>
    <col min="5122" max="5370" width="9.140625" style="33"/>
    <col min="5371" max="5371" width="65.7109375" style="33" customWidth="1"/>
    <col min="5372" max="5372" width="4.85546875" style="33" customWidth="1"/>
    <col min="5373" max="5374" width="3.7109375" style="33" customWidth="1"/>
    <col min="5375" max="5375" width="11.42578125" style="33" customWidth="1"/>
    <col min="5376" max="5376" width="3.7109375" style="33" customWidth="1"/>
    <col min="5377" max="5377" width="11.5703125" style="33" customWidth="1"/>
    <col min="5378" max="5626" width="9.140625" style="33"/>
    <col min="5627" max="5627" width="65.7109375" style="33" customWidth="1"/>
    <col min="5628" max="5628" width="4.85546875" style="33" customWidth="1"/>
    <col min="5629" max="5630" width="3.7109375" style="33" customWidth="1"/>
    <col min="5631" max="5631" width="11.42578125" style="33" customWidth="1"/>
    <col min="5632" max="5632" width="3.7109375" style="33" customWidth="1"/>
    <col min="5633" max="5633" width="11.5703125" style="33" customWidth="1"/>
    <col min="5634" max="5882" width="9.140625" style="33"/>
    <col min="5883" max="5883" width="65.7109375" style="33" customWidth="1"/>
    <col min="5884" max="5884" width="4.85546875" style="33" customWidth="1"/>
    <col min="5885" max="5886" width="3.7109375" style="33" customWidth="1"/>
    <col min="5887" max="5887" width="11.42578125" style="33" customWidth="1"/>
    <col min="5888" max="5888" width="3.7109375" style="33" customWidth="1"/>
    <col min="5889" max="5889" width="11.5703125" style="33" customWidth="1"/>
    <col min="5890" max="6138" width="9.140625" style="33"/>
    <col min="6139" max="6139" width="65.7109375" style="33" customWidth="1"/>
    <col min="6140" max="6140" width="4.85546875" style="33" customWidth="1"/>
    <col min="6141" max="6142" width="3.7109375" style="33" customWidth="1"/>
    <col min="6143" max="6143" width="11.42578125" style="33" customWidth="1"/>
    <col min="6144" max="6144" width="3.7109375" style="33" customWidth="1"/>
    <col min="6145" max="6145" width="11.5703125" style="33" customWidth="1"/>
    <col min="6146" max="6394" width="9.140625" style="33"/>
    <col min="6395" max="6395" width="65.7109375" style="33" customWidth="1"/>
    <col min="6396" max="6396" width="4.85546875" style="33" customWidth="1"/>
    <col min="6397" max="6398" width="3.7109375" style="33" customWidth="1"/>
    <col min="6399" max="6399" width="11.42578125" style="33" customWidth="1"/>
    <col min="6400" max="6400" width="3.7109375" style="33" customWidth="1"/>
    <col min="6401" max="6401" width="11.5703125" style="33" customWidth="1"/>
    <col min="6402" max="6650" width="9.140625" style="33"/>
    <col min="6651" max="6651" width="65.7109375" style="33" customWidth="1"/>
    <col min="6652" max="6652" width="4.85546875" style="33" customWidth="1"/>
    <col min="6653" max="6654" width="3.7109375" style="33" customWidth="1"/>
    <col min="6655" max="6655" width="11.42578125" style="33" customWidth="1"/>
    <col min="6656" max="6656" width="3.7109375" style="33" customWidth="1"/>
    <col min="6657" max="6657" width="11.5703125" style="33" customWidth="1"/>
    <col min="6658" max="6906" width="9.140625" style="33"/>
    <col min="6907" max="6907" width="65.7109375" style="33" customWidth="1"/>
    <col min="6908" max="6908" width="4.85546875" style="33" customWidth="1"/>
    <col min="6909" max="6910" width="3.7109375" style="33" customWidth="1"/>
    <col min="6911" max="6911" width="11.42578125" style="33" customWidth="1"/>
    <col min="6912" max="6912" width="3.7109375" style="33" customWidth="1"/>
    <col min="6913" max="6913" width="11.5703125" style="33" customWidth="1"/>
    <col min="6914" max="7162" width="9.140625" style="33"/>
    <col min="7163" max="7163" width="65.7109375" style="33" customWidth="1"/>
    <col min="7164" max="7164" width="4.85546875" style="33" customWidth="1"/>
    <col min="7165" max="7166" width="3.7109375" style="33" customWidth="1"/>
    <col min="7167" max="7167" width="11.42578125" style="33" customWidth="1"/>
    <col min="7168" max="7168" width="3.7109375" style="33" customWidth="1"/>
    <col min="7169" max="7169" width="11.5703125" style="33" customWidth="1"/>
    <col min="7170" max="7418" width="9.140625" style="33"/>
    <col min="7419" max="7419" width="65.7109375" style="33" customWidth="1"/>
    <col min="7420" max="7420" width="4.85546875" style="33" customWidth="1"/>
    <col min="7421" max="7422" width="3.7109375" style="33" customWidth="1"/>
    <col min="7423" max="7423" width="11.42578125" style="33" customWidth="1"/>
    <col min="7424" max="7424" width="3.7109375" style="33" customWidth="1"/>
    <col min="7425" max="7425" width="11.5703125" style="33" customWidth="1"/>
    <col min="7426" max="7674" width="9.140625" style="33"/>
    <col min="7675" max="7675" width="65.7109375" style="33" customWidth="1"/>
    <col min="7676" max="7676" width="4.85546875" style="33" customWidth="1"/>
    <col min="7677" max="7678" width="3.7109375" style="33" customWidth="1"/>
    <col min="7679" max="7679" width="11.42578125" style="33" customWidth="1"/>
    <col min="7680" max="7680" width="3.7109375" style="33" customWidth="1"/>
    <col min="7681" max="7681" width="11.5703125" style="33" customWidth="1"/>
    <col min="7682" max="7930" width="9.140625" style="33"/>
    <col min="7931" max="7931" width="65.7109375" style="33" customWidth="1"/>
    <col min="7932" max="7932" width="4.85546875" style="33" customWidth="1"/>
    <col min="7933" max="7934" width="3.7109375" style="33" customWidth="1"/>
    <col min="7935" max="7935" width="11.42578125" style="33" customWidth="1"/>
    <col min="7936" max="7936" width="3.7109375" style="33" customWidth="1"/>
    <col min="7937" max="7937" width="11.5703125" style="33" customWidth="1"/>
    <col min="7938" max="8186" width="9.140625" style="33"/>
    <col min="8187" max="8187" width="65.7109375" style="33" customWidth="1"/>
    <col min="8188" max="8188" width="4.85546875" style="33" customWidth="1"/>
    <col min="8189" max="8190" width="3.7109375" style="33" customWidth="1"/>
    <col min="8191" max="8191" width="11.42578125" style="33" customWidth="1"/>
    <col min="8192" max="8192" width="3.7109375" style="33" customWidth="1"/>
    <col min="8193" max="8193" width="11.5703125" style="33" customWidth="1"/>
    <col min="8194" max="8442" width="9.140625" style="33"/>
    <col min="8443" max="8443" width="65.7109375" style="33" customWidth="1"/>
    <col min="8444" max="8444" width="4.85546875" style="33" customWidth="1"/>
    <col min="8445" max="8446" width="3.7109375" style="33" customWidth="1"/>
    <col min="8447" max="8447" width="11.42578125" style="33" customWidth="1"/>
    <col min="8448" max="8448" width="3.7109375" style="33" customWidth="1"/>
    <col min="8449" max="8449" width="11.5703125" style="33" customWidth="1"/>
    <col min="8450" max="8698" width="9.140625" style="33"/>
    <col min="8699" max="8699" width="65.7109375" style="33" customWidth="1"/>
    <col min="8700" max="8700" width="4.85546875" style="33" customWidth="1"/>
    <col min="8701" max="8702" width="3.7109375" style="33" customWidth="1"/>
    <col min="8703" max="8703" width="11.42578125" style="33" customWidth="1"/>
    <col min="8704" max="8704" width="3.7109375" style="33" customWidth="1"/>
    <col min="8705" max="8705" width="11.5703125" style="33" customWidth="1"/>
    <col min="8706" max="8954" width="9.140625" style="33"/>
    <col min="8955" max="8955" width="65.7109375" style="33" customWidth="1"/>
    <col min="8956" max="8956" width="4.85546875" style="33" customWidth="1"/>
    <col min="8957" max="8958" width="3.7109375" style="33" customWidth="1"/>
    <col min="8959" max="8959" width="11.42578125" style="33" customWidth="1"/>
    <col min="8960" max="8960" width="3.7109375" style="33" customWidth="1"/>
    <col min="8961" max="8961" width="11.5703125" style="33" customWidth="1"/>
    <col min="8962" max="9210" width="9.140625" style="33"/>
    <col min="9211" max="9211" width="65.7109375" style="33" customWidth="1"/>
    <col min="9212" max="9212" width="4.85546875" style="33" customWidth="1"/>
    <col min="9213" max="9214" width="3.7109375" style="33" customWidth="1"/>
    <col min="9215" max="9215" width="11.42578125" style="33" customWidth="1"/>
    <col min="9216" max="9216" width="3.7109375" style="33" customWidth="1"/>
    <col min="9217" max="9217" width="11.5703125" style="33" customWidth="1"/>
    <col min="9218" max="9466" width="9.140625" style="33"/>
    <col min="9467" max="9467" width="65.7109375" style="33" customWidth="1"/>
    <col min="9468" max="9468" width="4.85546875" style="33" customWidth="1"/>
    <col min="9469" max="9470" width="3.7109375" style="33" customWidth="1"/>
    <col min="9471" max="9471" width="11.42578125" style="33" customWidth="1"/>
    <col min="9472" max="9472" width="3.7109375" style="33" customWidth="1"/>
    <col min="9473" max="9473" width="11.5703125" style="33" customWidth="1"/>
    <col min="9474" max="9722" width="9.140625" style="33"/>
    <col min="9723" max="9723" width="65.7109375" style="33" customWidth="1"/>
    <col min="9724" max="9724" width="4.85546875" style="33" customWidth="1"/>
    <col min="9725" max="9726" width="3.7109375" style="33" customWidth="1"/>
    <col min="9727" max="9727" width="11.42578125" style="33" customWidth="1"/>
    <col min="9728" max="9728" width="3.7109375" style="33" customWidth="1"/>
    <col min="9729" max="9729" width="11.5703125" style="33" customWidth="1"/>
    <col min="9730" max="9978" width="9.140625" style="33"/>
    <col min="9979" max="9979" width="65.7109375" style="33" customWidth="1"/>
    <col min="9980" max="9980" width="4.85546875" style="33" customWidth="1"/>
    <col min="9981" max="9982" width="3.7109375" style="33" customWidth="1"/>
    <col min="9983" max="9983" width="11.42578125" style="33" customWidth="1"/>
    <col min="9984" max="9984" width="3.7109375" style="33" customWidth="1"/>
    <col min="9985" max="9985" width="11.5703125" style="33" customWidth="1"/>
    <col min="9986" max="10234" width="9.140625" style="33"/>
    <col min="10235" max="10235" width="65.7109375" style="33" customWidth="1"/>
    <col min="10236" max="10236" width="4.85546875" style="33" customWidth="1"/>
    <col min="10237" max="10238" width="3.7109375" style="33" customWidth="1"/>
    <col min="10239" max="10239" width="11.42578125" style="33" customWidth="1"/>
    <col min="10240" max="10240" width="3.7109375" style="33" customWidth="1"/>
    <col min="10241" max="10241" width="11.5703125" style="33" customWidth="1"/>
    <col min="10242" max="10490" width="9.140625" style="33"/>
    <col min="10491" max="10491" width="65.7109375" style="33" customWidth="1"/>
    <col min="10492" max="10492" width="4.85546875" style="33" customWidth="1"/>
    <col min="10493" max="10494" width="3.7109375" style="33" customWidth="1"/>
    <col min="10495" max="10495" width="11.42578125" style="33" customWidth="1"/>
    <col min="10496" max="10496" width="3.7109375" style="33" customWidth="1"/>
    <col min="10497" max="10497" width="11.5703125" style="33" customWidth="1"/>
    <col min="10498" max="10746" width="9.140625" style="33"/>
    <col min="10747" max="10747" width="65.7109375" style="33" customWidth="1"/>
    <col min="10748" max="10748" width="4.85546875" style="33" customWidth="1"/>
    <col min="10749" max="10750" width="3.7109375" style="33" customWidth="1"/>
    <col min="10751" max="10751" width="11.42578125" style="33" customWidth="1"/>
    <col min="10752" max="10752" width="3.7109375" style="33" customWidth="1"/>
    <col min="10753" max="10753" width="11.5703125" style="33" customWidth="1"/>
    <col min="10754" max="11002" width="9.140625" style="33"/>
    <col min="11003" max="11003" width="65.7109375" style="33" customWidth="1"/>
    <col min="11004" max="11004" width="4.85546875" style="33" customWidth="1"/>
    <col min="11005" max="11006" width="3.7109375" style="33" customWidth="1"/>
    <col min="11007" max="11007" width="11.42578125" style="33" customWidth="1"/>
    <col min="11008" max="11008" width="3.7109375" style="33" customWidth="1"/>
    <col min="11009" max="11009" width="11.5703125" style="33" customWidth="1"/>
    <col min="11010" max="11258" width="9.140625" style="33"/>
    <col min="11259" max="11259" width="65.7109375" style="33" customWidth="1"/>
    <col min="11260" max="11260" width="4.85546875" style="33" customWidth="1"/>
    <col min="11261" max="11262" width="3.7109375" style="33" customWidth="1"/>
    <col min="11263" max="11263" width="11.42578125" style="33" customWidth="1"/>
    <col min="11264" max="11264" width="3.7109375" style="33" customWidth="1"/>
    <col min="11265" max="11265" width="11.5703125" style="33" customWidth="1"/>
    <col min="11266" max="11514" width="9.140625" style="33"/>
    <col min="11515" max="11515" width="65.7109375" style="33" customWidth="1"/>
    <col min="11516" max="11516" width="4.85546875" style="33" customWidth="1"/>
    <col min="11517" max="11518" width="3.7109375" style="33" customWidth="1"/>
    <col min="11519" max="11519" width="11.42578125" style="33" customWidth="1"/>
    <col min="11520" max="11520" width="3.7109375" style="33" customWidth="1"/>
    <col min="11521" max="11521" width="11.5703125" style="33" customWidth="1"/>
    <col min="11522" max="11770" width="9.140625" style="33"/>
    <col min="11771" max="11771" width="65.7109375" style="33" customWidth="1"/>
    <col min="11772" max="11772" width="4.85546875" style="33" customWidth="1"/>
    <col min="11773" max="11774" width="3.7109375" style="33" customWidth="1"/>
    <col min="11775" max="11775" width="11.42578125" style="33" customWidth="1"/>
    <col min="11776" max="11776" width="3.7109375" style="33" customWidth="1"/>
    <col min="11777" max="11777" width="11.5703125" style="33" customWidth="1"/>
    <col min="11778" max="12026" width="9.140625" style="33"/>
    <col min="12027" max="12027" width="65.7109375" style="33" customWidth="1"/>
    <col min="12028" max="12028" width="4.85546875" style="33" customWidth="1"/>
    <col min="12029" max="12030" width="3.7109375" style="33" customWidth="1"/>
    <col min="12031" max="12031" width="11.42578125" style="33" customWidth="1"/>
    <col min="12032" max="12032" width="3.7109375" style="33" customWidth="1"/>
    <col min="12033" max="12033" width="11.5703125" style="33" customWidth="1"/>
    <col min="12034" max="12282" width="9.140625" style="33"/>
    <col min="12283" max="12283" width="65.7109375" style="33" customWidth="1"/>
    <col min="12284" max="12284" width="4.85546875" style="33" customWidth="1"/>
    <col min="12285" max="12286" width="3.7109375" style="33" customWidth="1"/>
    <col min="12287" max="12287" width="11.42578125" style="33" customWidth="1"/>
    <col min="12288" max="12288" width="3.7109375" style="33" customWidth="1"/>
    <col min="12289" max="12289" width="11.5703125" style="33" customWidth="1"/>
    <col min="12290" max="12538" width="9.140625" style="33"/>
    <col min="12539" max="12539" width="65.7109375" style="33" customWidth="1"/>
    <col min="12540" max="12540" width="4.85546875" style="33" customWidth="1"/>
    <col min="12541" max="12542" width="3.7109375" style="33" customWidth="1"/>
    <col min="12543" max="12543" width="11.42578125" style="33" customWidth="1"/>
    <col min="12544" max="12544" width="3.7109375" style="33" customWidth="1"/>
    <col min="12545" max="12545" width="11.5703125" style="33" customWidth="1"/>
    <col min="12546" max="12794" width="9.140625" style="33"/>
    <col min="12795" max="12795" width="65.7109375" style="33" customWidth="1"/>
    <col min="12796" max="12796" width="4.85546875" style="33" customWidth="1"/>
    <col min="12797" max="12798" width="3.7109375" style="33" customWidth="1"/>
    <col min="12799" max="12799" width="11.42578125" style="33" customWidth="1"/>
    <col min="12800" max="12800" width="3.7109375" style="33" customWidth="1"/>
    <col min="12801" max="12801" width="11.5703125" style="33" customWidth="1"/>
    <col min="12802" max="13050" width="9.140625" style="33"/>
    <col min="13051" max="13051" width="65.7109375" style="33" customWidth="1"/>
    <col min="13052" max="13052" width="4.85546875" style="33" customWidth="1"/>
    <col min="13053" max="13054" width="3.7109375" style="33" customWidth="1"/>
    <col min="13055" max="13055" width="11.42578125" style="33" customWidth="1"/>
    <col min="13056" max="13056" width="3.7109375" style="33" customWidth="1"/>
    <col min="13057" max="13057" width="11.5703125" style="33" customWidth="1"/>
    <col min="13058" max="13306" width="9.140625" style="33"/>
    <col min="13307" max="13307" width="65.7109375" style="33" customWidth="1"/>
    <col min="13308" max="13308" width="4.85546875" style="33" customWidth="1"/>
    <col min="13309" max="13310" width="3.7109375" style="33" customWidth="1"/>
    <col min="13311" max="13311" width="11.42578125" style="33" customWidth="1"/>
    <col min="13312" max="13312" width="3.7109375" style="33" customWidth="1"/>
    <col min="13313" max="13313" width="11.5703125" style="33" customWidth="1"/>
    <col min="13314" max="13562" width="9.140625" style="33"/>
    <col min="13563" max="13563" width="65.7109375" style="33" customWidth="1"/>
    <col min="13564" max="13564" width="4.85546875" style="33" customWidth="1"/>
    <col min="13565" max="13566" width="3.7109375" style="33" customWidth="1"/>
    <col min="13567" max="13567" width="11.42578125" style="33" customWidth="1"/>
    <col min="13568" max="13568" width="3.7109375" style="33" customWidth="1"/>
    <col min="13569" max="13569" width="11.5703125" style="33" customWidth="1"/>
    <col min="13570" max="13818" width="9.140625" style="33"/>
    <col min="13819" max="13819" width="65.7109375" style="33" customWidth="1"/>
    <col min="13820" max="13820" width="4.85546875" style="33" customWidth="1"/>
    <col min="13821" max="13822" width="3.7109375" style="33" customWidth="1"/>
    <col min="13823" max="13823" width="11.42578125" style="33" customWidth="1"/>
    <col min="13824" max="13824" width="3.7109375" style="33" customWidth="1"/>
    <col min="13825" max="13825" width="11.5703125" style="33" customWidth="1"/>
    <col min="13826" max="14074" width="9.140625" style="33"/>
    <col min="14075" max="14075" width="65.7109375" style="33" customWidth="1"/>
    <col min="14076" max="14076" width="4.85546875" style="33" customWidth="1"/>
    <col min="14077" max="14078" width="3.7109375" style="33" customWidth="1"/>
    <col min="14079" max="14079" width="11.42578125" style="33" customWidth="1"/>
    <col min="14080" max="14080" width="3.7109375" style="33" customWidth="1"/>
    <col min="14081" max="14081" width="11.5703125" style="33" customWidth="1"/>
    <col min="14082" max="14330" width="9.140625" style="33"/>
    <col min="14331" max="14331" width="65.7109375" style="33" customWidth="1"/>
    <col min="14332" max="14332" width="4.85546875" style="33" customWidth="1"/>
    <col min="14333" max="14334" width="3.7109375" style="33" customWidth="1"/>
    <col min="14335" max="14335" width="11.42578125" style="33" customWidth="1"/>
    <col min="14336" max="14336" width="3.7109375" style="33" customWidth="1"/>
    <col min="14337" max="14337" width="11.5703125" style="33" customWidth="1"/>
    <col min="14338" max="14586" width="9.140625" style="33"/>
    <col min="14587" max="14587" width="65.7109375" style="33" customWidth="1"/>
    <col min="14588" max="14588" width="4.85546875" style="33" customWidth="1"/>
    <col min="14589" max="14590" width="3.7109375" style="33" customWidth="1"/>
    <col min="14591" max="14591" width="11.42578125" style="33" customWidth="1"/>
    <col min="14592" max="14592" width="3.7109375" style="33" customWidth="1"/>
    <col min="14593" max="14593" width="11.5703125" style="33" customWidth="1"/>
    <col min="14594" max="14842" width="9.140625" style="33"/>
    <col min="14843" max="14843" width="65.7109375" style="33" customWidth="1"/>
    <col min="14844" max="14844" width="4.85546875" style="33" customWidth="1"/>
    <col min="14845" max="14846" width="3.7109375" style="33" customWidth="1"/>
    <col min="14847" max="14847" width="11.42578125" style="33" customWidth="1"/>
    <col min="14848" max="14848" width="3.7109375" style="33" customWidth="1"/>
    <col min="14849" max="14849" width="11.5703125" style="33" customWidth="1"/>
    <col min="14850" max="15098" width="9.140625" style="33"/>
    <col min="15099" max="15099" width="65.7109375" style="33" customWidth="1"/>
    <col min="15100" max="15100" width="4.85546875" style="33" customWidth="1"/>
    <col min="15101" max="15102" width="3.7109375" style="33" customWidth="1"/>
    <col min="15103" max="15103" width="11.42578125" style="33" customWidth="1"/>
    <col min="15104" max="15104" width="3.7109375" style="33" customWidth="1"/>
    <col min="15105" max="15105" width="11.5703125" style="33" customWidth="1"/>
    <col min="15106" max="15354" width="9.140625" style="33"/>
    <col min="15355" max="15355" width="65.7109375" style="33" customWidth="1"/>
    <col min="15356" max="15356" width="4.85546875" style="33" customWidth="1"/>
    <col min="15357" max="15358" width="3.7109375" style="33" customWidth="1"/>
    <col min="15359" max="15359" width="11.42578125" style="33" customWidth="1"/>
    <col min="15360" max="15360" width="3.7109375" style="33" customWidth="1"/>
    <col min="15361" max="15361" width="11.5703125" style="33" customWidth="1"/>
    <col min="15362" max="15610" width="9.140625" style="33"/>
    <col min="15611" max="15611" width="65.7109375" style="33" customWidth="1"/>
    <col min="15612" max="15612" width="4.85546875" style="33" customWidth="1"/>
    <col min="15613" max="15614" width="3.7109375" style="33" customWidth="1"/>
    <col min="15615" max="15615" width="11.42578125" style="33" customWidth="1"/>
    <col min="15616" max="15616" width="3.7109375" style="33" customWidth="1"/>
    <col min="15617" max="15617" width="11.5703125" style="33" customWidth="1"/>
    <col min="15618" max="15866" width="9.140625" style="33"/>
    <col min="15867" max="15867" width="65.7109375" style="33" customWidth="1"/>
    <col min="15868" max="15868" width="4.85546875" style="33" customWidth="1"/>
    <col min="15869" max="15870" width="3.7109375" style="33" customWidth="1"/>
    <col min="15871" max="15871" width="11.42578125" style="33" customWidth="1"/>
    <col min="15872" max="15872" width="3.7109375" style="33" customWidth="1"/>
    <col min="15873" max="15873" width="11.5703125" style="33" customWidth="1"/>
    <col min="15874" max="16122" width="9.140625" style="33"/>
    <col min="16123" max="16123" width="65.7109375" style="33" customWidth="1"/>
    <col min="16124" max="16124" width="4.85546875" style="33" customWidth="1"/>
    <col min="16125" max="16126" width="3.7109375" style="33" customWidth="1"/>
    <col min="16127" max="16127" width="11.42578125" style="33" customWidth="1"/>
    <col min="16128" max="16128" width="3.7109375" style="33" customWidth="1"/>
    <col min="16129" max="16129" width="11.5703125" style="33" customWidth="1"/>
    <col min="16130" max="16384" width="9.140625" style="33"/>
  </cols>
  <sheetData>
    <row r="1" spans="1:12" x14ac:dyDescent="0.2">
      <c r="G1" s="440" t="s">
        <v>380</v>
      </c>
      <c r="H1" s="440"/>
      <c r="I1" s="440"/>
    </row>
    <row r="2" spans="1:12" ht="81.75" customHeight="1" x14ac:dyDescent="0.2">
      <c r="G2" s="436" t="s">
        <v>873</v>
      </c>
      <c r="H2" s="436"/>
      <c r="I2" s="436"/>
    </row>
    <row r="3" spans="1:12" x14ac:dyDescent="0.2">
      <c r="C3" s="427"/>
      <c r="D3" s="427"/>
      <c r="E3" s="427"/>
      <c r="F3" s="427"/>
      <c r="G3" s="445" t="s">
        <v>874</v>
      </c>
      <c r="H3" s="445"/>
      <c r="I3" s="445"/>
    </row>
    <row r="4" spans="1:12" x14ac:dyDescent="0.2">
      <c r="C4" s="447"/>
      <c r="D4" s="447"/>
      <c r="E4" s="447"/>
      <c r="F4" s="447"/>
      <c r="G4" s="447"/>
    </row>
    <row r="5" spans="1:12" ht="12.75" customHeight="1" x14ac:dyDescent="0.2">
      <c r="A5" s="443" t="s">
        <v>852</v>
      </c>
      <c r="B5" s="443"/>
      <c r="C5" s="443"/>
      <c r="D5" s="443"/>
      <c r="E5" s="443"/>
      <c r="F5" s="443"/>
      <c r="G5" s="443"/>
      <c r="H5" s="443"/>
      <c r="I5" s="443"/>
    </row>
    <row r="6" spans="1:12" x14ac:dyDescent="0.2">
      <c r="A6" s="188"/>
      <c r="B6" s="188"/>
      <c r="C6" s="188"/>
      <c r="D6" s="188"/>
      <c r="E6" s="188"/>
      <c r="F6" s="188"/>
      <c r="G6" s="188"/>
    </row>
    <row r="7" spans="1:12" x14ac:dyDescent="0.2">
      <c r="A7" s="31"/>
      <c r="B7" s="31"/>
      <c r="C7" s="31"/>
      <c r="D7" s="31"/>
      <c r="E7" s="31"/>
      <c r="F7" s="31"/>
      <c r="G7" s="9"/>
      <c r="H7" s="9" t="s">
        <v>0</v>
      </c>
    </row>
    <row r="8" spans="1:12" x14ac:dyDescent="0.2">
      <c r="A8" s="442" t="s">
        <v>1</v>
      </c>
      <c r="B8" s="442" t="s">
        <v>36</v>
      </c>
      <c r="C8" s="442" t="s">
        <v>2</v>
      </c>
      <c r="D8" s="442" t="s">
        <v>3</v>
      </c>
      <c r="E8" s="442" t="s">
        <v>4</v>
      </c>
      <c r="F8" s="442" t="s">
        <v>5</v>
      </c>
      <c r="G8" s="442" t="s">
        <v>517</v>
      </c>
      <c r="H8" s="446" t="s">
        <v>340</v>
      </c>
      <c r="I8" s="446" t="s">
        <v>518</v>
      </c>
    </row>
    <row r="9" spans="1:12" x14ac:dyDescent="0.2">
      <c r="A9" s="442"/>
      <c r="B9" s="442"/>
      <c r="C9" s="442"/>
      <c r="D9" s="442"/>
      <c r="E9" s="442"/>
      <c r="F9" s="442"/>
      <c r="G9" s="442"/>
      <c r="H9" s="446"/>
      <c r="I9" s="446"/>
    </row>
    <row r="10" spans="1:12" x14ac:dyDescent="0.2">
      <c r="A10" s="10" t="s">
        <v>63</v>
      </c>
      <c r="B10" s="31"/>
      <c r="C10" s="31"/>
      <c r="D10" s="31"/>
      <c r="E10" s="31"/>
      <c r="F10" s="31"/>
      <c r="G10" s="15">
        <f>+G11+G43+G52+G76+G126+G168+G198</f>
        <v>708962.73349000001</v>
      </c>
      <c r="H10" s="15">
        <f>+H11+H43+H52+H76+H126+H168+H198</f>
        <v>695633.88467000006</v>
      </c>
      <c r="I10" s="256">
        <f>+H10/G10*100</f>
        <v>98.119950712446297</v>
      </c>
      <c r="J10" s="204"/>
      <c r="L10" s="204"/>
    </row>
    <row r="11" spans="1:12" s="40" customFormat="1" x14ac:dyDescent="0.2">
      <c r="A11" s="10" t="s">
        <v>35</v>
      </c>
      <c r="B11" s="1"/>
      <c r="C11" s="1"/>
      <c r="D11" s="1"/>
      <c r="E11" s="1"/>
      <c r="F11" s="1"/>
      <c r="G11" s="21">
        <f>+G12</f>
        <v>74866.940549999999</v>
      </c>
      <c r="H11" s="21">
        <f>+H12</f>
        <v>70281.629779999988</v>
      </c>
      <c r="I11" s="256">
        <f t="shared" ref="I11:I74" si="0">+H11/G11*100</f>
        <v>93.875386470564123</v>
      </c>
      <c r="J11" s="204"/>
    </row>
    <row r="12" spans="1:12" s="40" customFormat="1" ht="25.5" x14ac:dyDescent="0.2">
      <c r="A12" s="205" t="s">
        <v>422</v>
      </c>
      <c r="B12" s="20" t="s">
        <v>34</v>
      </c>
      <c r="C12" s="1"/>
      <c r="D12" s="1"/>
      <c r="E12" s="1"/>
      <c r="F12" s="1"/>
      <c r="G12" s="18">
        <f>+G13+G17+G29</f>
        <v>74866.940549999999</v>
      </c>
      <c r="H12" s="18">
        <f>+H13+H17+H29</f>
        <v>70281.629779999988</v>
      </c>
      <c r="I12" s="256">
        <f t="shared" si="0"/>
        <v>93.875386470564123</v>
      </c>
    </row>
    <row r="13" spans="1:12" s="40" customFormat="1" x14ac:dyDescent="0.2">
      <c r="A13" s="206" t="s">
        <v>9</v>
      </c>
      <c r="B13" s="3" t="s">
        <v>34</v>
      </c>
      <c r="C13" s="1" t="s">
        <v>10</v>
      </c>
      <c r="D13" s="1" t="s">
        <v>6</v>
      </c>
      <c r="E13" s="1"/>
      <c r="F13" s="1"/>
      <c r="G13" s="2">
        <f t="shared" ref="G13:H15" si="1">+G14</f>
        <v>9770.0830000000005</v>
      </c>
      <c r="H13" s="2">
        <f t="shared" si="1"/>
        <v>9589.1987900000004</v>
      </c>
      <c r="I13" s="256">
        <f t="shared" si="0"/>
        <v>98.148590856392929</v>
      </c>
    </row>
    <row r="14" spans="1:12" s="40" customFormat="1" x14ac:dyDescent="0.2">
      <c r="A14" s="207" t="s">
        <v>200</v>
      </c>
      <c r="B14" s="3" t="s">
        <v>34</v>
      </c>
      <c r="C14" s="1" t="s">
        <v>10</v>
      </c>
      <c r="D14" s="3" t="s">
        <v>98</v>
      </c>
      <c r="E14" s="1" t="s">
        <v>59</v>
      </c>
      <c r="F14" s="1"/>
      <c r="G14" s="2">
        <f t="shared" si="1"/>
        <v>9770.0830000000005</v>
      </c>
      <c r="H14" s="2">
        <f t="shared" si="1"/>
        <v>9589.1987900000004</v>
      </c>
      <c r="I14" s="256">
        <f t="shared" si="0"/>
        <v>98.148590856392929</v>
      </c>
    </row>
    <row r="15" spans="1:12" s="40" customFormat="1" ht="25.5" x14ac:dyDescent="0.2">
      <c r="A15" s="206" t="s">
        <v>203</v>
      </c>
      <c r="B15" s="3" t="s">
        <v>34</v>
      </c>
      <c r="C15" s="1" t="s">
        <v>10</v>
      </c>
      <c r="D15" s="3" t="s">
        <v>98</v>
      </c>
      <c r="E15" s="1" t="s">
        <v>58</v>
      </c>
      <c r="F15" s="1"/>
      <c r="G15" s="2">
        <f t="shared" si="1"/>
        <v>9770.0830000000005</v>
      </c>
      <c r="H15" s="2">
        <f t="shared" si="1"/>
        <v>9589.1987900000004</v>
      </c>
      <c r="I15" s="256">
        <f t="shared" si="0"/>
        <v>98.148590856392929</v>
      </c>
    </row>
    <row r="16" spans="1:12" s="40" customFormat="1" ht="25.5" x14ac:dyDescent="0.2">
      <c r="A16" s="208" t="s">
        <v>13</v>
      </c>
      <c r="B16" s="3" t="s">
        <v>34</v>
      </c>
      <c r="C16" s="1" t="s">
        <v>10</v>
      </c>
      <c r="D16" s="3" t="s">
        <v>98</v>
      </c>
      <c r="E16" s="1" t="s">
        <v>58</v>
      </c>
      <c r="F16" s="1">
        <v>600</v>
      </c>
      <c r="G16" s="18">
        <v>9770.0830000000005</v>
      </c>
      <c r="H16" s="18">
        <v>9589.1987900000004</v>
      </c>
      <c r="I16" s="256">
        <f t="shared" si="0"/>
        <v>98.148590856392929</v>
      </c>
    </row>
    <row r="17" spans="1:11" s="40" customFormat="1" x14ac:dyDescent="0.2">
      <c r="A17" s="205" t="s">
        <v>26</v>
      </c>
      <c r="B17" s="20" t="s">
        <v>34</v>
      </c>
      <c r="C17" s="188" t="s">
        <v>27</v>
      </c>
      <c r="D17" s="188" t="s">
        <v>6</v>
      </c>
      <c r="E17" s="188" t="s">
        <v>7</v>
      </c>
      <c r="F17" s="188"/>
      <c r="G17" s="21">
        <f>+G18+G36</f>
        <v>64567.628549999994</v>
      </c>
      <c r="H17" s="21">
        <f>+H18+H36</f>
        <v>60163.204029999994</v>
      </c>
      <c r="I17" s="256">
        <f t="shared" si="0"/>
        <v>93.178587135828764</v>
      </c>
      <c r="K17" s="142"/>
    </row>
    <row r="18" spans="1:11" s="40" customFormat="1" x14ac:dyDescent="0.2">
      <c r="A18" s="206" t="s">
        <v>28</v>
      </c>
      <c r="B18" s="3" t="s">
        <v>34</v>
      </c>
      <c r="C18" s="1" t="s">
        <v>27</v>
      </c>
      <c r="D18" s="1" t="s">
        <v>23</v>
      </c>
      <c r="E18" s="1" t="s">
        <v>7</v>
      </c>
      <c r="F18" s="1"/>
      <c r="G18" s="18">
        <f>+G19+G21+G23+G25+G33+G34+G27</f>
        <v>61671.574619999992</v>
      </c>
      <c r="H18" s="18">
        <f>+H19+H21+H23+H25+H33+H34+H27</f>
        <v>57708.587999999996</v>
      </c>
      <c r="I18" s="256">
        <f t="shared" si="0"/>
        <v>93.574046642365431</v>
      </c>
    </row>
    <row r="19" spans="1:11" s="40" customFormat="1" x14ac:dyDescent="0.2">
      <c r="A19" s="206" t="s">
        <v>189</v>
      </c>
      <c r="B19" s="3" t="s">
        <v>34</v>
      </c>
      <c r="C19" s="1" t="s">
        <v>27</v>
      </c>
      <c r="D19" s="1" t="s">
        <v>23</v>
      </c>
      <c r="E19" s="1" t="s">
        <v>60</v>
      </c>
      <c r="F19" s="1"/>
      <c r="G19" s="18">
        <f>+G20</f>
        <v>9934.2109999999993</v>
      </c>
      <c r="H19" s="18">
        <f>+H20</f>
        <v>9834.20874</v>
      </c>
      <c r="I19" s="256">
        <f t="shared" si="0"/>
        <v>98.993354781773817</v>
      </c>
    </row>
    <row r="20" spans="1:11" s="40" customFormat="1" ht="25.5" x14ac:dyDescent="0.2">
      <c r="A20" s="206" t="s">
        <v>13</v>
      </c>
      <c r="B20" s="3" t="s">
        <v>34</v>
      </c>
      <c r="C20" s="1" t="s">
        <v>27</v>
      </c>
      <c r="D20" s="1" t="s">
        <v>23</v>
      </c>
      <c r="E20" s="1" t="s">
        <v>60</v>
      </c>
      <c r="F20" s="1">
        <v>600</v>
      </c>
      <c r="G20" s="18">
        <v>9934.2109999999993</v>
      </c>
      <c r="H20" s="18">
        <v>9834.20874</v>
      </c>
      <c r="I20" s="256">
        <f t="shared" si="0"/>
        <v>98.993354781773817</v>
      </c>
    </row>
    <row r="21" spans="1:11" s="40" customFormat="1" ht="25.5" x14ac:dyDescent="0.2">
      <c r="A21" s="206" t="s">
        <v>188</v>
      </c>
      <c r="B21" s="3" t="s">
        <v>34</v>
      </c>
      <c r="C21" s="1" t="s">
        <v>27</v>
      </c>
      <c r="D21" s="1" t="s">
        <v>23</v>
      </c>
      <c r="E21" s="1" t="s">
        <v>62</v>
      </c>
      <c r="F21" s="1"/>
      <c r="G21" s="18">
        <f>+G22</f>
        <v>18488.068220000001</v>
      </c>
      <c r="H21" s="18">
        <f>+H22</f>
        <v>17526.008030000001</v>
      </c>
      <c r="I21" s="256">
        <f t="shared" si="0"/>
        <v>94.7963184765877</v>
      </c>
    </row>
    <row r="22" spans="1:11" s="40" customFormat="1" ht="25.5" x14ac:dyDescent="0.2">
      <c r="A22" s="206" t="s">
        <v>13</v>
      </c>
      <c r="B22" s="3" t="s">
        <v>34</v>
      </c>
      <c r="C22" s="1" t="s">
        <v>27</v>
      </c>
      <c r="D22" s="1" t="s">
        <v>23</v>
      </c>
      <c r="E22" s="1" t="s">
        <v>62</v>
      </c>
      <c r="F22" s="1">
        <v>600</v>
      </c>
      <c r="G22" s="18">
        <v>18488.068220000001</v>
      </c>
      <c r="H22" s="18">
        <v>17526.008030000001</v>
      </c>
      <c r="I22" s="256">
        <f t="shared" si="0"/>
        <v>94.7963184765877</v>
      </c>
    </row>
    <row r="23" spans="1:11" s="40" customFormat="1" x14ac:dyDescent="0.2">
      <c r="A23" s="206" t="s">
        <v>423</v>
      </c>
      <c r="B23" s="3" t="s">
        <v>34</v>
      </c>
      <c r="C23" s="1" t="s">
        <v>27</v>
      </c>
      <c r="D23" s="1" t="s">
        <v>23</v>
      </c>
      <c r="E23" s="1" t="s">
        <v>62</v>
      </c>
      <c r="F23" s="1"/>
      <c r="G23" s="18">
        <f>+G24</f>
        <v>30368.4804</v>
      </c>
      <c r="H23" s="18">
        <f>+H24</f>
        <v>27467.557000000001</v>
      </c>
      <c r="I23" s="256">
        <f t="shared" si="0"/>
        <v>90.447584594980256</v>
      </c>
    </row>
    <row r="24" spans="1:11" s="40" customFormat="1" ht="51" x14ac:dyDescent="0.2">
      <c r="A24" s="206" t="s">
        <v>21</v>
      </c>
      <c r="B24" s="3" t="s">
        <v>34</v>
      </c>
      <c r="C24" s="1" t="s">
        <v>27</v>
      </c>
      <c r="D24" s="1" t="s">
        <v>23</v>
      </c>
      <c r="E24" s="1" t="s">
        <v>62</v>
      </c>
      <c r="F24" s="1">
        <v>100</v>
      </c>
      <c r="G24" s="18">
        <v>30368.4804</v>
      </c>
      <c r="H24" s="18">
        <f>21141.983+6325.574</f>
        <v>27467.557000000001</v>
      </c>
      <c r="I24" s="256">
        <f t="shared" si="0"/>
        <v>90.447584594980256</v>
      </c>
    </row>
    <row r="25" spans="1:11" s="40" customFormat="1" ht="25.5" x14ac:dyDescent="0.2">
      <c r="A25" s="206" t="s">
        <v>424</v>
      </c>
      <c r="B25" s="3" t="s">
        <v>34</v>
      </c>
      <c r="C25" s="1" t="s">
        <v>27</v>
      </c>
      <c r="D25" s="1" t="s">
        <v>23</v>
      </c>
      <c r="E25" s="1" t="s">
        <v>170</v>
      </c>
      <c r="F25" s="1"/>
      <c r="G25" s="2">
        <f>+G26</f>
        <v>945.37300000000005</v>
      </c>
      <c r="H25" s="2">
        <f>+H26</f>
        <v>945.37222999999994</v>
      </c>
      <c r="I25" s="256">
        <f t="shared" si="0"/>
        <v>99.999918550667289</v>
      </c>
    </row>
    <row r="26" spans="1:11" s="40" customFormat="1" ht="25.5" x14ac:dyDescent="0.2">
      <c r="A26" s="206" t="s">
        <v>15</v>
      </c>
      <c r="B26" s="3" t="s">
        <v>34</v>
      </c>
      <c r="C26" s="1" t="s">
        <v>27</v>
      </c>
      <c r="D26" s="1" t="s">
        <v>23</v>
      </c>
      <c r="E26" s="1" t="s">
        <v>170</v>
      </c>
      <c r="F26" s="1">
        <v>600</v>
      </c>
      <c r="G26" s="2">
        <v>945.37300000000005</v>
      </c>
      <c r="H26" s="2">
        <v>945.37222999999994</v>
      </c>
      <c r="I26" s="256">
        <f t="shared" si="0"/>
        <v>99.999918550667289</v>
      </c>
    </row>
    <row r="27" spans="1:11" s="40" customFormat="1" ht="25.5" x14ac:dyDescent="0.2">
      <c r="A27" s="206" t="s">
        <v>424</v>
      </c>
      <c r="B27" s="3" t="s">
        <v>34</v>
      </c>
      <c r="C27" s="1" t="s">
        <v>27</v>
      </c>
      <c r="D27" s="1" t="s">
        <v>23</v>
      </c>
      <c r="E27" s="1" t="s">
        <v>170</v>
      </c>
      <c r="F27" s="1"/>
      <c r="G27" s="2">
        <f>+G28</f>
        <v>225.74199999999999</v>
      </c>
      <c r="H27" s="2">
        <f>+H28</f>
        <v>225.74200000000002</v>
      </c>
      <c r="I27" s="256">
        <f t="shared" si="0"/>
        <v>100.00000000000003</v>
      </c>
    </row>
    <row r="28" spans="1:11" s="40" customFormat="1" ht="25.5" x14ac:dyDescent="0.2">
      <c r="A28" s="206" t="s">
        <v>15</v>
      </c>
      <c r="B28" s="3" t="s">
        <v>34</v>
      </c>
      <c r="C28" s="1" t="s">
        <v>27</v>
      </c>
      <c r="D28" s="1" t="s">
        <v>23</v>
      </c>
      <c r="E28" s="1" t="s">
        <v>170</v>
      </c>
      <c r="F28" s="1">
        <v>200</v>
      </c>
      <c r="G28" s="2">
        <v>225.74199999999999</v>
      </c>
      <c r="H28" s="2">
        <f>74.742+151</f>
        <v>225.74200000000002</v>
      </c>
      <c r="I28" s="256">
        <f t="shared" si="0"/>
        <v>100.00000000000003</v>
      </c>
    </row>
    <row r="29" spans="1:11" s="40" customFormat="1" ht="25.5" x14ac:dyDescent="0.2">
      <c r="A29" s="206" t="s">
        <v>205</v>
      </c>
      <c r="B29" s="3" t="s">
        <v>34</v>
      </c>
      <c r="C29" s="1">
        <v>12</v>
      </c>
      <c r="D29" s="1" t="s">
        <v>12</v>
      </c>
      <c r="E29" s="1"/>
      <c r="F29" s="1"/>
      <c r="G29" s="2">
        <f>+G30</f>
        <v>529.22900000000004</v>
      </c>
      <c r="H29" s="2">
        <f>+H30</f>
        <v>529.22695999999996</v>
      </c>
      <c r="I29" s="256">
        <f t="shared" si="0"/>
        <v>99.999614533595079</v>
      </c>
    </row>
    <row r="30" spans="1:11" s="40" customFormat="1" x14ac:dyDescent="0.2">
      <c r="A30" s="206" t="s">
        <v>33</v>
      </c>
      <c r="B30" s="3" t="s">
        <v>34</v>
      </c>
      <c r="C30" s="1" t="s">
        <v>30</v>
      </c>
      <c r="D30" s="1" t="s">
        <v>12</v>
      </c>
      <c r="E30" s="1" t="s">
        <v>194</v>
      </c>
      <c r="F30" s="1"/>
      <c r="G30" s="2">
        <f>+G31</f>
        <v>529.22900000000004</v>
      </c>
      <c r="H30" s="2">
        <f>+H31</f>
        <v>529.22695999999996</v>
      </c>
      <c r="I30" s="256">
        <f t="shared" si="0"/>
        <v>99.999614533595079</v>
      </c>
    </row>
    <row r="31" spans="1:11" s="40" customFormat="1" ht="25.5" x14ac:dyDescent="0.2">
      <c r="A31" s="206" t="s">
        <v>13</v>
      </c>
      <c r="B31" s="3" t="s">
        <v>34</v>
      </c>
      <c r="C31" s="1" t="s">
        <v>30</v>
      </c>
      <c r="D31" s="1" t="s">
        <v>12</v>
      </c>
      <c r="E31" s="1" t="s">
        <v>194</v>
      </c>
      <c r="F31" s="1">
        <v>600</v>
      </c>
      <c r="G31" s="2">
        <v>529.22900000000004</v>
      </c>
      <c r="H31" s="2">
        <v>529.22695999999996</v>
      </c>
      <c r="I31" s="256">
        <f t="shared" si="0"/>
        <v>99.999614533595079</v>
      </c>
    </row>
    <row r="32" spans="1:11" s="40" customFormat="1" x14ac:dyDescent="0.2">
      <c r="A32" s="209" t="s">
        <v>191</v>
      </c>
      <c r="B32" s="3" t="s">
        <v>34</v>
      </c>
      <c r="C32" s="1" t="s">
        <v>27</v>
      </c>
      <c r="D32" s="1" t="s">
        <v>23</v>
      </c>
      <c r="E32" s="1" t="s">
        <v>425</v>
      </c>
      <c r="F32" s="1"/>
      <c r="G32" s="2">
        <f>+G33</f>
        <v>39.700000000000003</v>
      </c>
      <c r="H32" s="2">
        <f>+H33</f>
        <v>39.700000000000003</v>
      </c>
      <c r="I32" s="256">
        <f t="shared" si="0"/>
        <v>100</v>
      </c>
    </row>
    <row r="33" spans="1:9" s="40" customFormat="1" ht="25.5" x14ac:dyDescent="0.2">
      <c r="A33" s="206" t="s">
        <v>13</v>
      </c>
      <c r="B33" s="3" t="s">
        <v>34</v>
      </c>
      <c r="C33" s="1" t="s">
        <v>27</v>
      </c>
      <c r="D33" s="1" t="s">
        <v>23</v>
      </c>
      <c r="E33" s="1" t="s">
        <v>425</v>
      </c>
      <c r="F33" s="1">
        <v>600</v>
      </c>
      <c r="G33" s="2">
        <v>39.700000000000003</v>
      </c>
      <c r="H33" s="2">
        <v>39.700000000000003</v>
      </c>
      <c r="I33" s="256">
        <f t="shared" si="0"/>
        <v>100</v>
      </c>
    </row>
    <row r="34" spans="1:9" s="40" customFormat="1" ht="25.5" x14ac:dyDescent="0.2">
      <c r="A34" s="206" t="s">
        <v>426</v>
      </c>
      <c r="B34" s="3" t="s">
        <v>34</v>
      </c>
      <c r="C34" s="1" t="s">
        <v>27</v>
      </c>
      <c r="D34" s="1" t="s">
        <v>23</v>
      </c>
      <c r="E34" s="1" t="s">
        <v>427</v>
      </c>
      <c r="F34" s="1"/>
      <c r="G34" s="2">
        <f>+G35</f>
        <v>1670</v>
      </c>
      <c r="H34" s="2">
        <f>+H35</f>
        <v>1670</v>
      </c>
      <c r="I34" s="256">
        <f t="shared" si="0"/>
        <v>100</v>
      </c>
    </row>
    <row r="35" spans="1:9" s="40" customFormat="1" ht="25.5" x14ac:dyDescent="0.2">
      <c r="A35" s="206" t="s">
        <v>13</v>
      </c>
      <c r="B35" s="3" t="s">
        <v>34</v>
      </c>
      <c r="C35" s="1" t="s">
        <v>27</v>
      </c>
      <c r="D35" s="1" t="s">
        <v>23</v>
      </c>
      <c r="E35" s="1" t="s">
        <v>427</v>
      </c>
      <c r="F35" s="1">
        <v>600</v>
      </c>
      <c r="G35" s="18">
        <v>1670</v>
      </c>
      <c r="H35" s="18">
        <v>1670</v>
      </c>
      <c r="I35" s="256">
        <f t="shared" si="0"/>
        <v>100</v>
      </c>
    </row>
    <row r="36" spans="1:9" s="40" customFormat="1" x14ac:dyDescent="0.2">
      <c r="A36" s="206" t="s">
        <v>29</v>
      </c>
      <c r="B36" s="3" t="s">
        <v>34</v>
      </c>
      <c r="C36" s="1" t="s">
        <v>27</v>
      </c>
      <c r="D36" s="1" t="s">
        <v>19</v>
      </c>
      <c r="E36" s="1"/>
      <c r="F36" s="1"/>
      <c r="G36" s="2">
        <f>+G37+G41</f>
        <v>2896.05393</v>
      </c>
      <c r="H36" s="2">
        <f>+H37+H41</f>
        <v>2454.6160300000001</v>
      </c>
      <c r="I36" s="256">
        <f t="shared" si="0"/>
        <v>84.757262445040169</v>
      </c>
    </row>
    <row r="37" spans="1:9" s="40" customFormat="1" x14ac:dyDescent="0.2">
      <c r="A37" s="206" t="s">
        <v>117</v>
      </c>
      <c r="B37" s="3" t="s">
        <v>34</v>
      </c>
      <c r="C37" s="1" t="s">
        <v>27</v>
      </c>
      <c r="D37" s="1" t="s">
        <v>19</v>
      </c>
      <c r="E37" s="1" t="s">
        <v>133</v>
      </c>
      <c r="F37" s="1"/>
      <c r="G37" s="2">
        <f>+G38+G39+G40</f>
        <v>2169.3539299999998</v>
      </c>
      <c r="H37" s="2">
        <f>+H38+H39+H40</f>
        <v>1739.04303</v>
      </c>
      <c r="I37" s="256">
        <f t="shared" si="0"/>
        <v>80.164098902939287</v>
      </c>
    </row>
    <row r="38" spans="1:9" s="40" customFormat="1" ht="51" x14ac:dyDescent="0.2">
      <c r="A38" s="206" t="s">
        <v>21</v>
      </c>
      <c r="B38" s="3" t="s">
        <v>34</v>
      </c>
      <c r="C38" s="1" t="s">
        <v>27</v>
      </c>
      <c r="D38" s="1" t="s">
        <v>19</v>
      </c>
      <c r="E38" s="1" t="s">
        <v>133</v>
      </c>
      <c r="F38" s="1">
        <v>100</v>
      </c>
      <c r="G38" s="2">
        <v>957.59199999999998</v>
      </c>
      <c r="H38" s="2">
        <f>743.029+214.534</f>
        <v>957.56299999999999</v>
      </c>
      <c r="I38" s="256">
        <f t="shared" si="0"/>
        <v>99.99697157035564</v>
      </c>
    </row>
    <row r="39" spans="1:9" s="40" customFormat="1" ht="25.5" x14ac:dyDescent="0.2">
      <c r="A39" s="206" t="s">
        <v>15</v>
      </c>
      <c r="B39" s="3" t="s">
        <v>34</v>
      </c>
      <c r="C39" s="1" t="s">
        <v>27</v>
      </c>
      <c r="D39" s="1" t="s">
        <v>19</v>
      </c>
      <c r="E39" s="1" t="s">
        <v>133</v>
      </c>
      <c r="F39" s="1">
        <v>200</v>
      </c>
      <c r="G39" s="2">
        <f>678.77293+508.637</f>
        <v>1187.40993</v>
      </c>
      <c r="H39" s="2">
        <f>153.37839+603.74964</f>
        <v>757.12802999999997</v>
      </c>
      <c r="I39" s="256">
        <f t="shared" si="0"/>
        <v>63.762986216562965</v>
      </c>
    </row>
    <row r="40" spans="1:9" s="40" customFormat="1" x14ac:dyDescent="0.2">
      <c r="A40" s="206" t="s">
        <v>24</v>
      </c>
      <c r="B40" s="3" t="s">
        <v>34</v>
      </c>
      <c r="C40" s="1" t="s">
        <v>27</v>
      </c>
      <c r="D40" s="1" t="s">
        <v>19</v>
      </c>
      <c r="E40" s="1" t="s">
        <v>133</v>
      </c>
      <c r="F40" s="1">
        <v>800</v>
      </c>
      <c r="G40" s="2">
        <v>24.352</v>
      </c>
      <c r="H40" s="2">
        <f>19.952+4.4</f>
        <v>24.352000000000004</v>
      </c>
      <c r="I40" s="256">
        <f t="shared" si="0"/>
        <v>100.00000000000003</v>
      </c>
    </row>
    <row r="41" spans="1:9" s="41" customFormat="1" x14ac:dyDescent="0.2">
      <c r="A41" s="210" t="s">
        <v>116</v>
      </c>
      <c r="B41" s="26" t="s">
        <v>34</v>
      </c>
      <c r="C41" s="17" t="s">
        <v>27</v>
      </c>
      <c r="D41" s="17" t="s">
        <v>19</v>
      </c>
      <c r="E41" s="17" t="s">
        <v>71</v>
      </c>
      <c r="F41" s="17"/>
      <c r="G41" s="18">
        <f>+G42</f>
        <v>726.7</v>
      </c>
      <c r="H41" s="18">
        <f>+H42</f>
        <v>715.57300000000009</v>
      </c>
      <c r="I41" s="256">
        <f t="shared" si="0"/>
        <v>98.46883170496767</v>
      </c>
    </row>
    <row r="42" spans="1:9" s="41" customFormat="1" ht="51" x14ac:dyDescent="0.2">
      <c r="A42" s="210" t="s">
        <v>21</v>
      </c>
      <c r="B42" s="26" t="s">
        <v>34</v>
      </c>
      <c r="C42" s="17" t="s">
        <v>27</v>
      </c>
      <c r="D42" s="17" t="s">
        <v>19</v>
      </c>
      <c r="E42" s="17" t="s">
        <v>71</v>
      </c>
      <c r="F42" s="17">
        <v>100</v>
      </c>
      <c r="G42" s="18">
        <v>726.7</v>
      </c>
      <c r="H42" s="18">
        <f>550.157+165.416</f>
        <v>715.57300000000009</v>
      </c>
      <c r="I42" s="256">
        <f t="shared" si="0"/>
        <v>98.46883170496767</v>
      </c>
    </row>
    <row r="43" spans="1:9" ht="25.5" x14ac:dyDescent="0.2">
      <c r="A43" s="13" t="s">
        <v>41</v>
      </c>
      <c r="B43" s="20" t="s">
        <v>108</v>
      </c>
      <c r="C43" s="13"/>
      <c r="D43" s="13"/>
      <c r="E43" s="13"/>
      <c r="F43" s="13"/>
      <c r="G43" s="68">
        <f>+G44+G49</f>
        <v>5208.6629999999996</v>
      </c>
      <c r="H43" s="68">
        <f>+H44+H49</f>
        <v>5142.1521899999998</v>
      </c>
      <c r="I43" s="256">
        <f t="shared" si="0"/>
        <v>98.723073272354156</v>
      </c>
    </row>
    <row r="44" spans="1:9" x14ac:dyDescent="0.2">
      <c r="A44" s="12" t="s">
        <v>118</v>
      </c>
      <c r="B44" s="3" t="s">
        <v>108</v>
      </c>
      <c r="C44" s="1" t="s">
        <v>19</v>
      </c>
      <c r="D44" s="13"/>
      <c r="E44" s="5" t="s">
        <v>70</v>
      </c>
      <c r="F44" s="13"/>
      <c r="G44" s="69">
        <f>+G45+G46</f>
        <v>5008.6629999999996</v>
      </c>
      <c r="H44" s="69">
        <f>+H45+H46</f>
        <v>4942.1521899999998</v>
      </c>
      <c r="I44" s="256">
        <f t="shared" si="0"/>
        <v>98.672084546315062</v>
      </c>
    </row>
    <row r="45" spans="1:9" s="39" customFormat="1" ht="51" x14ac:dyDescent="0.2">
      <c r="A45" s="210" t="s">
        <v>21</v>
      </c>
      <c r="B45" s="26" t="s">
        <v>108</v>
      </c>
      <c r="C45" s="17" t="s">
        <v>19</v>
      </c>
      <c r="D45" s="17" t="s">
        <v>103</v>
      </c>
      <c r="E45" s="17" t="s">
        <v>71</v>
      </c>
      <c r="F45" s="17">
        <v>100</v>
      </c>
      <c r="G45" s="18">
        <v>4268.2</v>
      </c>
      <c r="H45" s="18">
        <f>3236.195+965.49743</f>
        <v>4201.6924300000001</v>
      </c>
      <c r="I45" s="256">
        <f t="shared" si="0"/>
        <v>98.441788810271319</v>
      </c>
    </row>
    <row r="46" spans="1:9" x14ac:dyDescent="0.2">
      <c r="A46" s="206" t="s">
        <v>119</v>
      </c>
      <c r="B46" s="3" t="s">
        <v>108</v>
      </c>
      <c r="C46" s="1" t="s">
        <v>19</v>
      </c>
      <c r="D46" s="1" t="s">
        <v>103</v>
      </c>
      <c r="E46" s="1" t="s">
        <v>72</v>
      </c>
      <c r="F46" s="1" t="s">
        <v>8</v>
      </c>
      <c r="G46" s="18">
        <f>+G47+G48</f>
        <v>740.46300000000008</v>
      </c>
      <c r="H46" s="18">
        <f>+H47+H48</f>
        <v>740.45976000000007</v>
      </c>
      <c r="I46" s="256">
        <f t="shared" si="0"/>
        <v>99.999562435935346</v>
      </c>
    </row>
    <row r="47" spans="1:9" ht="25.5" x14ac:dyDescent="0.2">
      <c r="A47" s="206" t="s">
        <v>66</v>
      </c>
      <c r="B47" s="3" t="s">
        <v>108</v>
      </c>
      <c r="C47" s="1" t="s">
        <v>19</v>
      </c>
      <c r="D47" s="1" t="s">
        <v>103</v>
      </c>
      <c r="E47" s="1" t="s">
        <v>72</v>
      </c>
      <c r="F47" s="1" t="s">
        <v>16</v>
      </c>
      <c r="G47" s="18">
        <f>230.133+484.644</f>
        <v>714.77700000000004</v>
      </c>
      <c r="H47" s="18">
        <f>10+107.07308+597.70068</f>
        <v>714.77376000000004</v>
      </c>
      <c r="I47" s="256">
        <f t="shared" si="0"/>
        <v>99.999546711771643</v>
      </c>
    </row>
    <row r="48" spans="1:9" x14ac:dyDescent="0.2">
      <c r="A48" s="206" t="s">
        <v>24</v>
      </c>
      <c r="B48" s="3" t="s">
        <v>108</v>
      </c>
      <c r="C48" s="1" t="s">
        <v>19</v>
      </c>
      <c r="D48" s="1" t="s">
        <v>103</v>
      </c>
      <c r="E48" s="1" t="s">
        <v>72</v>
      </c>
      <c r="F48" s="1" t="s">
        <v>25</v>
      </c>
      <c r="G48" s="18">
        <v>25.686</v>
      </c>
      <c r="H48" s="18">
        <f>24.503+1.183</f>
        <v>25.686</v>
      </c>
      <c r="I48" s="256">
        <f t="shared" si="0"/>
        <v>100</v>
      </c>
    </row>
    <row r="49" spans="1:11" x14ac:dyDescent="0.2">
      <c r="A49" s="206" t="s">
        <v>163</v>
      </c>
      <c r="B49" s="3" t="s">
        <v>108</v>
      </c>
      <c r="C49" s="1" t="s">
        <v>19</v>
      </c>
      <c r="D49" s="1" t="s">
        <v>103</v>
      </c>
      <c r="E49" s="1"/>
      <c r="F49" s="1"/>
      <c r="G49" s="18">
        <f>+G50</f>
        <v>200</v>
      </c>
      <c r="H49" s="18">
        <f>+H50</f>
        <v>200</v>
      </c>
      <c r="I49" s="256">
        <f t="shared" si="0"/>
        <v>100</v>
      </c>
    </row>
    <row r="50" spans="1:11" ht="38.25" x14ac:dyDescent="0.2">
      <c r="A50" s="24" t="s">
        <v>192</v>
      </c>
      <c r="B50" s="3" t="s">
        <v>108</v>
      </c>
      <c r="C50" s="1" t="s">
        <v>19</v>
      </c>
      <c r="D50" s="1" t="s">
        <v>103</v>
      </c>
      <c r="E50" s="3" t="s">
        <v>171</v>
      </c>
      <c r="F50" s="1"/>
      <c r="G50" s="18">
        <f>+G51</f>
        <v>200</v>
      </c>
      <c r="H50" s="18">
        <f>+H51</f>
        <v>200</v>
      </c>
      <c r="I50" s="256">
        <f t="shared" si="0"/>
        <v>100</v>
      </c>
    </row>
    <row r="51" spans="1:11" ht="25.5" x14ac:dyDescent="0.2">
      <c r="A51" s="206" t="s">
        <v>66</v>
      </c>
      <c r="B51" s="3" t="s">
        <v>108</v>
      </c>
      <c r="C51" s="1" t="s">
        <v>19</v>
      </c>
      <c r="D51" s="1" t="s">
        <v>103</v>
      </c>
      <c r="E51" s="3" t="s">
        <v>171</v>
      </c>
      <c r="F51" s="1" t="s">
        <v>16</v>
      </c>
      <c r="G51" s="18">
        <v>200</v>
      </c>
      <c r="H51" s="18">
        <v>200</v>
      </c>
      <c r="I51" s="256">
        <f t="shared" si="0"/>
        <v>100</v>
      </c>
    </row>
    <row r="52" spans="1:11" x14ac:dyDescent="0.2">
      <c r="A52" s="13" t="s">
        <v>37</v>
      </c>
      <c r="B52" s="4">
        <v>703</v>
      </c>
      <c r="C52" s="13"/>
      <c r="D52" s="13"/>
      <c r="E52" s="13"/>
      <c r="F52" s="13"/>
      <c r="G52" s="68">
        <f>+G53</f>
        <v>6091.4650000000001</v>
      </c>
      <c r="H52" s="68">
        <f>+H53</f>
        <v>5988.0917300000001</v>
      </c>
      <c r="I52" s="256">
        <f t="shared" si="0"/>
        <v>98.302981795019747</v>
      </c>
    </row>
    <row r="53" spans="1:11" x14ac:dyDescent="0.2">
      <c r="A53" s="206" t="s">
        <v>73</v>
      </c>
      <c r="B53" s="5">
        <v>703</v>
      </c>
      <c r="C53" s="1" t="s">
        <v>23</v>
      </c>
      <c r="D53" s="1" t="s">
        <v>6</v>
      </c>
      <c r="E53" s="1" t="s">
        <v>64</v>
      </c>
      <c r="F53" s="1" t="s">
        <v>8</v>
      </c>
      <c r="G53" s="18">
        <f>+G54+G67</f>
        <v>6091.4650000000001</v>
      </c>
      <c r="H53" s="18">
        <f>+H54+H67</f>
        <v>5988.0917300000001</v>
      </c>
      <c r="I53" s="256">
        <f t="shared" si="0"/>
        <v>98.302981795019747</v>
      </c>
    </row>
    <row r="54" spans="1:11" ht="38.25" x14ac:dyDescent="0.2">
      <c r="A54" s="206" t="s">
        <v>38</v>
      </c>
      <c r="B54" s="5">
        <v>703</v>
      </c>
      <c r="C54" s="1" t="s">
        <v>23</v>
      </c>
      <c r="D54" s="1" t="s">
        <v>98</v>
      </c>
      <c r="E54" s="1" t="s">
        <v>64</v>
      </c>
      <c r="F54" s="1" t="s">
        <v>8</v>
      </c>
      <c r="G54" s="18">
        <f>+G55</f>
        <v>3569.2619999999997</v>
      </c>
      <c r="H54" s="18">
        <f>+H55</f>
        <v>3524.0477300000002</v>
      </c>
      <c r="I54" s="256">
        <f t="shared" si="0"/>
        <v>98.733231967840979</v>
      </c>
      <c r="J54" s="43"/>
      <c r="K54" s="43"/>
    </row>
    <row r="55" spans="1:11" x14ac:dyDescent="0.2">
      <c r="A55" s="12" t="s">
        <v>37</v>
      </c>
      <c r="B55" s="5">
        <v>703</v>
      </c>
      <c r="C55" s="1" t="s">
        <v>23</v>
      </c>
      <c r="D55" s="1" t="s">
        <v>98</v>
      </c>
      <c r="E55" s="1" t="s">
        <v>120</v>
      </c>
      <c r="F55" s="1" t="s">
        <v>8</v>
      </c>
      <c r="G55" s="2">
        <f>+G56+G61+G64</f>
        <v>3569.2619999999997</v>
      </c>
      <c r="H55" s="2">
        <f>+H56+H61+H64</f>
        <v>3524.0477300000002</v>
      </c>
      <c r="I55" s="256">
        <f t="shared" si="0"/>
        <v>98.733231967840979</v>
      </c>
    </row>
    <row r="56" spans="1:11" x14ac:dyDescent="0.2">
      <c r="A56" s="205" t="s">
        <v>109</v>
      </c>
      <c r="B56" s="5">
        <v>703</v>
      </c>
      <c r="C56" s="1" t="s">
        <v>23</v>
      </c>
      <c r="D56" s="1" t="s">
        <v>98</v>
      </c>
      <c r="E56" s="1" t="s">
        <v>70</v>
      </c>
      <c r="F56" s="1" t="s">
        <v>8</v>
      </c>
      <c r="G56" s="2">
        <f>+G57</f>
        <v>979.91200000000003</v>
      </c>
      <c r="H56" s="2">
        <f>+H57</f>
        <v>972.92072999999993</v>
      </c>
      <c r="I56" s="256">
        <f t="shared" si="0"/>
        <v>99.286541036337951</v>
      </c>
    </row>
    <row r="57" spans="1:11" x14ac:dyDescent="0.2">
      <c r="A57" s="206" t="s">
        <v>109</v>
      </c>
      <c r="B57" s="5">
        <v>703</v>
      </c>
      <c r="C57" s="1" t="s">
        <v>23</v>
      </c>
      <c r="D57" s="1" t="s">
        <v>98</v>
      </c>
      <c r="E57" s="1" t="s">
        <v>71</v>
      </c>
      <c r="F57" s="1" t="s">
        <v>8</v>
      </c>
      <c r="G57" s="2">
        <f>+G58+G59+G60</f>
        <v>979.91200000000003</v>
      </c>
      <c r="H57" s="2">
        <f>+H58+H59+H60</f>
        <v>972.92072999999993</v>
      </c>
      <c r="I57" s="256">
        <f t="shared" si="0"/>
        <v>99.286541036337951</v>
      </c>
    </row>
    <row r="58" spans="1:11" ht="51" x14ac:dyDescent="0.2">
      <c r="A58" s="206" t="s">
        <v>21</v>
      </c>
      <c r="B58" s="5">
        <v>703</v>
      </c>
      <c r="C58" s="1" t="s">
        <v>23</v>
      </c>
      <c r="D58" s="1" t="s">
        <v>98</v>
      </c>
      <c r="E58" s="1" t="s">
        <v>71</v>
      </c>
      <c r="F58" s="1">
        <v>100</v>
      </c>
      <c r="G58" s="2">
        <v>369.13</v>
      </c>
      <c r="H58" s="2">
        <f>271.666+90.47</f>
        <v>362.13599999999997</v>
      </c>
      <c r="I58" s="256">
        <f t="shared" si="0"/>
        <v>98.105274564516549</v>
      </c>
    </row>
    <row r="59" spans="1:11" ht="25.5" x14ac:dyDescent="0.2">
      <c r="A59" s="206" t="s">
        <v>66</v>
      </c>
      <c r="B59" s="5">
        <v>703</v>
      </c>
      <c r="C59" s="1" t="s">
        <v>23</v>
      </c>
      <c r="D59" s="1" t="s">
        <v>98</v>
      </c>
      <c r="E59" s="1" t="s">
        <v>72</v>
      </c>
      <c r="F59" s="1" t="s">
        <v>16</v>
      </c>
      <c r="G59" s="2">
        <v>604.59</v>
      </c>
      <c r="H59" s="2">
        <f>22.4+206.11773+376.075</f>
        <v>604.59272999999996</v>
      </c>
      <c r="I59" s="256">
        <f t="shared" si="0"/>
        <v>100.00045154567556</v>
      </c>
    </row>
    <row r="60" spans="1:11" x14ac:dyDescent="0.2">
      <c r="A60" s="206" t="s">
        <v>24</v>
      </c>
      <c r="B60" s="5">
        <v>703</v>
      </c>
      <c r="C60" s="1" t="s">
        <v>23</v>
      </c>
      <c r="D60" s="1" t="s">
        <v>98</v>
      </c>
      <c r="E60" s="1" t="s">
        <v>72</v>
      </c>
      <c r="F60" s="1" t="s">
        <v>25</v>
      </c>
      <c r="G60" s="2">
        <v>6.1920000000000002</v>
      </c>
      <c r="H60" s="2">
        <f>3.479+2.713</f>
        <v>6.1920000000000002</v>
      </c>
      <c r="I60" s="256">
        <f t="shared" si="0"/>
        <v>100</v>
      </c>
    </row>
    <row r="61" spans="1:11" ht="25.5" x14ac:dyDescent="0.2">
      <c r="A61" s="13" t="s">
        <v>39</v>
      </c>
      <c r="B61" s="5">
        <v>703</v>
      </c>
      <c r="C61" s="12"/>
      <c r="D61" s="12"/>
      <c r="E61" s="12"/>
      <c r="F61" s="12"/>
      <c r="G61" s="69">
        <f>+G62</f>
        <v>1432.867</v>
      </c>
      <c r="H61" s="69">
        <f>+H62</f>
        <v>1402.8810000000001</v>
      </c>
      <c r="I61" s="256">
        <f t="shared" si="0"/>
        <v>97.907272621953055</v>
      </c>
    </row>
    <row r="62" spans="1:11" ht="25.5" x14ac:dyDescent="0.2">
      <c r="A62" s="12" t="s">
        <v>39</v>
      </c>
      <c r="B62" s="5">
        <v>703</v>
      </c>
      <c r="C62" s="1" t="s">
        <v>23</v>
      </c>
      <c r="D62" s="1" t="s">
        <v>98</v>
      </c>
      <c r="E62" s="1" t="s">
        <v>121</v>
      </c>
      <c r="F62" s="1" t="s">
        <v>8</v>
      </c>
      <c r="G62" s="2">
        <f>+G63</f>
        <v>1432.867</v>
      </c>
      <c r="H62" s="2">
        <f>+H63</f>
        <v>1402.8810000000001</v>
      </c>
      <c r="I62" s="256">
        <f t="shared" si="0"/>
        <v>97.907272621953055</v>
      </c>
    </row>
    <row r="63" spans="1:11" ht="51" x14ac:dyDescent="0.2">
      <c r="A63" s="206" t="s">
        <v>21</v>
      </c>
      <c r="B63" s="5">
        <v>703</v>
      </c>
      <c r="C63" s="1" t="s">
        <v>23</v>
      </c>
      <c r="D63" s="1" t="s">
        <v>98</v>
      </c>
      <c r="E63" s="1" t="s">
        <v>121</v>
      </c>
      <c r="F63" s="1">
        <v>100</v>
      </c>
      <c r="G63" s="2">
        <v>1432.867</v>
      </c>
      <c r="H63" s="2">
        <f>1078.373+324.508</f>
        <v>1402.8810000000001</v>
      </c>
      <c r="I63" s="256">
        <f t="shared" si="0"/>
        <v>97.907272621953055</v>
      </c>
    </row>
    <row r="64" spans="1:11" s="42" customFormat="1" x14ac:dyDescent="0.2">
      <c r="A64" s="205" t="s">
        <v>110</v>
      </c>
      <c r="B64" s="5">
        <v>703</v>
      </c>
      <c r="C64" s="1" t="s">
        <v>23</v>
      </c>
      <c r="D64" s="1" t="s">
        <v>98</v>
      </c>
      <c r="E64" s="1" t="s">
        <v>122</v>
      </c>
      <c r="F64" s="1" t="s">
        <v>8</v>
      </c>
      <c r="G64" s="2">
        <f>+G65</f>
        <v>1156.4829999999999</v>
      </c>
      <c r="H64" s="2">
        <f>+H65</f>
        <v>1148.2460000000001</v>
      </c>
      <c r="I64" s="256">
        <f t="shared" si="0"/>
        <v>99.287754337936676</v>
      </c>
    </row>
    <row r="65" spans="1:12" x14ac:dyDescent="0.2">
      <c r="A65" s="206" t="s">
        <v>110</v>
      </c>
      <c r="B65" s="5">
        <v>703</v>
      </c>
      <c r="C65" s="1" t="s">
        <v>23</v>
      </c>
      <c r="D65" s="1" t="s">
        <v>98</v>
      </c>
      <c r="E65" s="1" t="s">
        <v>123</v>
      </c>
      <c r="F65" s="1" t="s">
        <v>8</v>
      </c>
      <c r="G65" s="2">
        <f>+G66</f>
        <v>1156.4829999999999</v>
      </c>
      <c r="H65" s="2">
        <f>+H66</f>
        <v>1148.2460000000001</v>
      </c>
      <c r="I65" s="256">
        <f t="shared" si="0"/>
        <v>99.287754337936676</v>
      </c>
    </row>
    <row r="66" spans="1:12" ht="51" x14ac:dyDescent="0.2">
      <c r="A66" s="206" t="s">
        <v>21</v>
      </c>
      <c r="B66" s="5">
        <v>703</v>
      </c>
      <c r="C66" s="1" t="s">
        <v>23</v>
      </c>
      <c r="D66" s="1" t="s">
        <v>98</v>
      </c>
      <c r="E66" s="1" t="s">
        <v>123</v>
      </c>
      <c r="F66" s="1">
        <v>100</v>
      </c>
      <c r="G66" s="2">
        <v>1156.4829999999999</v>
      </c>
      <c r="H66" s="2">
        <f>872.068+276.178</f>
        <v>1148.2460000000001</v>
      </c>
      <c r="I66" s="256">
        <f t="shared" si="0"/>
        <v>99.287754337936676</v>
      </c>
    </row>
    <row r="67" spans="1:12" x14ac:dyDescent="0.2">
      <c r="A67" s="205" t="s">
        <v>111</v>
      </c>
      <c r="B67" s="5">
        <v>703</v>
      </c>
      <c r="C67" s="188" t="s">
        <v>6</v>
      </c>
      <c r="D67" s="188" t="s">
        <v>6</v>
      </c>
      <c r="E67" s="188" t="s">
        <v>64</v>
      </c>
      <c r="F67" s="188" t="s">
        <v>8</v>
      </c>
      <c r="G67" s="15">
        <f>+G68</f>
        <v>2522.203</v>
      </c>
      <c r="H67" s="15">
        <f>+H68</f>
        <v>2464.0439999999999</v>
      </c>
      <c r="I67" s="256">
        <f t="shared" si="0"/>
        <v>97.694118990422268</v>
      </c>
    </row>
    <row r="68" spans="1:12" x14ac:dyDescent="0.2">
      <c r="A68" s="206" t="s">
        <v>73</v>
      </c>
      <c r="B68" s="5">
        <v>703</v>
      </c>
      <c r="C68" s="1" t="s">
        <v>23</v>
      </c>
      <c r="D68" s="1" t="s">
        <v>6</v>
      </c>
      <c r="E68" s="1" t="s">
        <v>64</v>
      </c>
      <c r="F68" s="1" t="s">
        <v>8</v>
      </c>
      <c r="G68" s="2">
        <f>+G69</f>
        <v>2522.203</v>
      </c>
      <c r="H68" s="2">
        <f>+H69</f>
        <v>2464.0439999999999</v>
      </c>
      <c r="I68" s="256">
        <f t="shared" si="0"/>
        <v>97.694118990422268</v>
      </c>
    </row>
    <row r="69" spans="1:12" ht="25.5" x14ac:dyDescent="0.2">
      <c r="A69" s="206" t="s">
        <v>40</v>
      </c>
      <c r="B69" s="5">
        <v>703</v>
      </c>
      <c r="C69" s="1" t="s">
        <v>23</v>
      </c>
      <c r="D69" s="1" t="s">
        <v>100</v>
      </c>
      <c r="E69" s="1" t="s">
        <v>64</v>
      </c>
      <c r="F69" s="1" t="s">
        <v>8</v>
      </c>
      <c r="G69" s="2">
        <f>+G70+G73</f>
        <v>2522.203</v>
      </c>
      <c r="H69" s="2">
        <f>+H70+H73</f>
        <v>2464.0439999999999</v>
      </c>
      <c r="I69" s="256">
        <f t="shared" si="0"/>
        <v>97.694118990422268</v>
      </c>
    </row>
    <row r="70" spans="1:12" ht="25.5" x14ac:dyDescent="0.2">
      <c r="A70" s="205" t="s">
        <v>112</v>
      </c>
      <c r="B70" s="5">
        <v>703</v>
      </c>
      <c r="C70" s="1" t="s">
        <v>23</v>
      </c>
      <c r="D70" s="1" t="s">
        <v>100</v>
      </c>
      <c r="E70" s="1" t="s">
        <v>70</v>
      </c>
      <c r="F70" s="1" t="s">
        <v>8</v>
      </c>
      <c r="G70" s="2">
        <f>+G71+G72</f>
        <v>1602.905</v>
      </c>
      <c r="H70" s="2">
        <f>+H71+H72</f>
        <v>1565.8619999999999</v>
      </c>
      <c r="I70" s="256">
        <f t="shared" si="0"/>
        <v>97.68900839413439</v>
      </c>
    </row>
    <row r="71" spans="1:12" ht="51" x14ac:dyDescent="0.2">
      <c r="A71" s="206" t="s">
        <v>21</v>
      </c>
      <c r="B71" s="5">
        <v>703</v>
      </c>
      <c r="C71" s="1" t="s">
        <v>23</v>
      </c>
      <c r="D71" s="1" t="s">
        <v>100</v>
      </c>
      <c r="E71" s="1" t="s">
        <v>71</v>
      </c>
      <c r="F71" s="1">
        <v>100</v>
      </c>
      <c r="G71" s="2">
        <v>1581.5070000000001</v>
      </c>
      <c r="H71" s="2">
        <f>1187.555+356.909</f>
        <v>1544.4639999999999</v>
      </c>
      <c r="I71" s="256">
        <f t="shared" si="0"/>
        <v>97.65774037041885</v>
      </c>
    </row>
    <row r="72" spans="1:12" ht="25.5" x14ac:dyDescent="0.2">
      <c r="A72" s="206" t="s">
        <v>66</v>
      </c>
      <c r="B72" s="5">
        <v>703</v>
      </c>
      <c r="C72" s="1" t="s">
        <v>23</v>
      </c>
      <c r="D72" s="1" t="s">
        <v>100</v>
      </c>
      <c r="E72" s="1" t="s">
        <v>72</v>
      </c>
      <c r="F72" s="1" t="s">
        <v>16</v>
      </c>
      <c r="G72" s="2">
        <v>21.398</v>
      </c>
      <c r="H72" s="2">
        <f>15.399+5.999</f>
        <v>21.398</v>
      </c>
      <c r="I72" s="256">
        <f t="shared" si="0"/>
        <v>100</v>
      </c>
    </row>
    <row r="73" spans="1:12" x14ac:dyDescent="0.2">
      <c r="A73" s="205" t="s">
        <v>113</v>
      </c>
      <c r="B73" s="5">
        <v>703</v>
      </c>
      <c r="C73" s="1" t="s">
        <v>23</v>
      </c>
      <c r="D73" s="1" t="s">
        <v>100</v>
      </c>
      <c r="E73" s="1" t="s">
        <v>125</v>
      </c>
      <c r="F73" s="1" t="s">
        <v>8</v>
      </c>
      <c r="G73" s="2">
        <f>+G74</f>
        <v>919.298</v>
      </c>
      <c r="H73" s="2">
        <f>+H74</f>
        <v>898.18200000000002</v>
      </c>
      <c r="I73" s="256">
        <f t="shared" si="0"/>
        <v>97.703029920656846</v>
      </c>
    </row>
    <row r="74" spans="1:12" x14ac:dyDescent="0.2">
      <c r="A74" s="206" t="s">
        <v>113</v>
      </c>
      <c r="B74" s="5">
        <v>703</v>
      </c>
      <c r="C74" s="1" t="s">
        <v>23</v>
      </c>
      <c r="D74" s="1" t="s">
        <v>100</v>
      </c>
      <c r="E74" s="1" t="s">
        <v>124</v>
      </c>
      <c r="F74" s="1" t="s">
        <v>8</v>
      </c>
      <c r="G74" s="2">
        <f>+G75</f>
        <v>919.298</v>
      </c>
      <c r="H74" s="2">
        <f>+H75</f>
        <v>898.18200000000002</v>
      </c>
      <c r="I74" s="256">
        <f t="shared" si="0"/>
        <v>97.703029920656846</v>
      </c>
    </row>
    <row r="75" spans="1:12" ht="51" x14ac:dyDescent="0.2">
      <c r="A75" s="206" t="s">
        <v>21</v>
      </c>
      <c r="B75" s="5">
        <v>703</v>
      </c>
      <c r="C75" s="1" t="s">
        <v>23</v>
      </c>
      <c r="D75" s="1" t="s">
        <v>100</v>
      </c>
      <c r="E75" s="1" t="s">
        <v>124</v>
      </c>
      <c r="F75" s="1">
        <v>100</v>
      </c>
      <c r="G75" s="2">
        <v>919.298</v>
      </c>
      <c r="H75" s="2">
        <f>690.319+207.863</f>
        <v>898.18200000000002</v>
      </c>
      <c r="I75" s="256">
        <f t="shared" ref="I75:I138" si="2">+H75/G75*100</f>
        <v>97.703029920656846</v>
      </c>
    </row>
    <row r="76" spans="1:12" ht="25.5" x14ac:dyDescent="0.2">
      <c r="A76" s="205" t="s">
        <v>428</v>
      </c>
      <c r="B76" s="4">
        <v>777</v>
      </c>
      <c r="C76" s="1"/>
      <c r="D76" s="1"/>
      <c r="E76" s="1"/>
      <c r="F76" s="1"/>
      <c r="G76" s="21">
        <f>+G77+G117</f>
        <v>390537.85600000003</v>
      </c>
      <c r="H76" s="21">
        <f>+H77+H117</f>
        <v>386718.92502000002</v>
      </c>
      <c r="I76" s="256">
        <f t="shared" si="2"/>
        <v>99.022135518662751</v>
      </c>
      <c r="L76" s="43"/>
    </row>
    <row r="77" spans="1:12" x14ac:dyDescent="0.2">
      <c r="A77" s="205" t="s">
        <v>166</v>
      </c>
      <c r="B77" s="5">
        <v>777</v>
      </c>
      <c r="C77" s="1" t="s">
        <v>10</v>
      </c>
      <c r="D77" s="1"/>
      <c r="E77" s="1"/>
      <c r="F77" s="1"/>
      <c r="G77" s="21">
        <f>+G78+G82+G92+G96+G101</f>
        <v>387763.68100000004</v>
      </c>
      <c r="H77" s="21">
        <f>+H78+H82+H92+H96+H101</f>
        <v>383944.75002000004</v>
      </c>
      <c r="I77" s="256">
        <f t="shared" si="2"/>
        <v>99.015139589620304</v>
      </c>
    </row>
    <row r="78" spans="1:12" x14ac:dyDescent="0.2">
      <c r="A78" s="206" t="s">
        <v>126</v>
      </c>
      <c r="B78" s="5">
        <v>777</v>
      </c>
      <c r="C78" s="1" t="s">
        <v>10</v>
      </c>
      <c r="D78" s="3" t="s">
        <v>23</v>
      </c>
      <c r="E78" s="1"/>
      <c r="F78" s="1"/>
      <c r="G78" s="2">
        <f t="shared" ref="G78:H80" si="3">+G79</f>
        <v>98103.395000000004</v>
      </c>
      <c r="H78" s="2">
        <f t="shared" si="3"/>
        <v>95800.357629999999</v>
      </c>
      <c r="I78" s="256">
        <f t="shared" si="2"/>
        <v>97.652438664329594</v>
      </c>
    </row>
    <row r="79" spans="1:12" ht="25.5" x14ac:dyDescent="0.2">
      <c r="A79" s="206" t="s">
        <v>127</v>
      </c>
      <c r="B79" s="5">
        <v>777</v>
      </c>
      <c r="C79" s="1" t="s">
        <v>10</v>
      </c>
      <c r="D79" s="3" t="s">
        <v>23</v>
      </c>
      <c r="E79" s="1" t="s">
        <v>128</v>
      </c>
      <c r="F79" s="1"/>
      <c r="G79" s="2">
        <f t="shared" si="3"/>
        <v>98103.395000000004</v>
      </c>
      <c r="H79" s="2">
        <f t="shared" si="3"/>
        <v>95800.357629999999</v>
      </c>
      <c r="I79" s="256">
        <f t="shared" si="2"/>
        <v>97.652438664329594</v>
      </c>
    </row>
    <row r="80" spans="1:12" x14ac:dyDescent="0.2">
      <c r="A80" s="206" t="s">
        <v>132</v>
      </c>
      <c r="B80" s="5">
        <v>777</v>
      </c>
      <c r="C80" s="1" t="s">
        <v>10</v>
      </c>
      <c r="D80" s="3" t="s">
        <v>23</v>
      </c>
      <c r="E80" s="1" t="s">
        <v>128</v>
      </c>
      <c r="F80" s="1"/>
      <c r="G80" s="2">
        <f t="shared" si="3"/>
        <v>98103.395000000004</v>
      </c>
      <c r="H80" s="2">
        <f t="shared" si="3"/>
        <v>95800.357629999999</v>
      </c>
      <c r="I80" s="256">
        <f t="shared" si="2"/>
        <v>97.652438664329594</v>
      </c>
    </row>
    <row r="81" spans="1:9" ht="25.5" x14ac:dyDescent="0.2">
      <c r="A81" s="206" t="s">
        <v>13</v>
      </c>
      <c r="B81" s="5">
        <v>777</v>
      </c>
      <c r="C81" s="1" t="s">
        <v>10</v>
      </c>
      <c r="D81" s="3" t="s">
        <v>23</v>
      </c>
      <c r="E81" s="1" t="s">
        <v>128</v>
      </c>
      <c r="F81" s="1" t="s">
        <v>14</v>
      </c>
      <c r="G81" s="2">
        <v>98103.395000000004</v>
      </c>
      <c r="H81" s="2">
        <v>95800.357629999999</v>
      </c>
      <c r="I81" s="256">
        <f t="shared" si="2"/>
        <v>97.652438664329594</v>
      </c>
    </row>
    <row r="82" spans="1:9" x14ac:dyDescent="0.2">
      <c r="A82" s="206" t="s">
        <v>11</v>
      </c>
      <c r="B82" s="5">
        <v>777</v>
      </c>
      <c r="C82" s="1" t="s">
        <v>10</v>
      </c>
      <c r="D82" s="1" t="s">
        <v>12</v>
      </c>
      <c r="E82" s="1"/>
      <c r="F82" s="1"/>
      <c r="G82" s="2">
        <f>+G83+G86+G88+G90</f>
        <v>242141.05800000002</v>
      </c>
      <c r="H82" s="2">
        <f>+H83+H86+H88+H90</f>
        <v>241457.3976</v>
      </c>
      <c r="I82" s="256">
        <f t="shared" si="2"/>
        <v>99.717660273872255</v>
      </c>
    </row>
    <row r="83" spans="1:9" ht="25.5" x14ac:dyDescent="0.2">
      <c r="A83" s="206" t="s">
        <v>127</v>
      </c>
      <c r="B83" s="5">
        <v>777</v>
      </c>
      <c r="C83" s="1" t="s">
        <v>10</v>
      </c>
      <c r="D83" s="1" t="s">
        <v>12</v>
      </c>
      <c r="E83" s="1" t="s">
        <v>129</v>
      </c>
      <c r="F83" s="1"/>
      <c r="G83" s="2">
        <f>+G84</f>
        <v>230556.861</v>
      </c>
      <c r="H83" s="2">
        <f>+H84</f>
        <v>230215.62659999999</v>
      </c>
      <c r="I83" s="256">
        <f t="shared" si="2"/>
        <v>99.851995556098402</v>
      </c>
    </row>
    <row r="84" spans="1:9" x14ac:dyDescent="0.2">
      <c r="A84" s="206" t="s">
        <v>131</v>
      </c>
      <c r="B84" s="5">
        <v>777</v>
      </c>
      <c r="C84" s="1" t="s">
        <v>10</v>
      </c>
      <c r="D84" s="1" t="s">
        <v>12</v>
      </c>
      <c r="E84" s="1" t="s">
        <v>129</v>
      </c>
      <c r="F84" s="1"/>
      <c r="G84" s="2">
        <f>+G85</f>
        <v>230556.861</v>
      </c>
      <c r="H84" s="2">
        <f>+H85</f>
        <v>230215.62659999999</v>
      </c>
      <c r="I84" s="256">
        <f t="shared" si="2"/>
        <v>99.851995556098402</v>
      </c>
    </row>
    <row r="85" spans="1:9" ht="25.5" x14ac:dyDescent="0.2">
      <c r="A85" s="206" t="s">
        <v>13</v>
      </c>
      <c r="B85" s="5">
        <v>777</v>
      </c>
      <c r="C85" s="1" t="s">
        <v>10</v>
      </c>
      <c r="D85" s="1" t="s">
        <v>12</v>
      </c>
      <c r="E85" s="1" t="s">
        <v>129</v>
      </c>
      <c r="F85" s="1" t="s">
        <v>14</v>
      </c>
      <c r="G85" s="2">
        <v>230556.861</v>
      </c>
      <c r="H85" s="2">
        <v>230215.62659999999</v>
      </c>
      <c r="I85" s="256">
        <f t="shared" si="2"/>
        <v>99.851995556098402</v>
      </c>
    </row>
    <row r="86" spans="1:9" ht="51" x14ac:dyDescent="0.2">
      <c r="A86" s="206" t="s">
        <v>197</v>
      </c>
      <c r="B86" s="5">
        <v>777</v>
      </c>
      <c r="C86" s="1" t="s">
        <v>10</v>
      </c>
      <c r="D86" s="1" t="s">
        <v>12</v>
      </c>
      <c r="E86" s="1" t="s">
        <v>429</v>
      </c>
      <c r="F86" s="1"/>
      <c r="G86" s="2">
        <f>+G87</f>
        <v>1717.17</v>
      </c>
      <c r="H86" s="2">
        <f>+H87</f>
        <v>1717.17</v>
      </c>
      <c r="I86" s="256">
        <f t="shared" si="2"/>
        <v>100</v>
      </c>
    </row>
    <row r="87" spans="1:9" ht="25.5" x14ac:dyDescent="0.2">
      <c r="A87" s="206" t="s">
        <v>13</v>
      </c>
      <c r="B87" s="5">
        <v>777</v>
      </c>
      <c r="C87" s="1" t="s">
        <v>10</v>
      </c>
      <c r="D87" s="1" t="s">
        <v>12</v>
      </c>
      <c r="E87" s="1" t="s">
        <v>429</v>
      </c>
      <c r="F87" s="1">
        <v>600</v>
      </c>
      <c r="G87" s="2">
        <v>1717.17</v>
      </c>
      <c r="H87" s="2">
        <v>1717.17</v>
      </c>
      <c r="I87" s="256">
        <f t="shared" si="2"/>
        <v>100</v>
      </c>
    </row>
    <row r="88" spans="1:9" ht="51" x14ac:dyDescent="0.2">
      <c r="A88" s="206" t="s">
        <v>430</v>
      </c>
      <c r="B88" s="5">
        <v>777</v>
      </c>
      <c r="C88" s="1" t="s">
        <v>10</v>
      </c>
      <c r="D88" s="1" t="s">
        <v>12</v>
      </c>
      <c r="E88" s="1" t="s">
        <v>431</v>
      </c>
      <c r="F88" s="1"/>
      <c r="G88" s="2">
        <f>+G89</f>
        <v>6080.6109999999999</v>
      </c>
      <c r="H88" s="2">
        <f>+H89</f>
        <v>5738.1850000000004</v>
      </c>
      <c r="I88" s="256">
        <f t="shared" si="2"/>
        <v>94.368559343789642</v>
      </c>
    </row>
    <row r="89" spans="1:9" ht="25.5" x14ac:dyDescent="0.2">
      <c r="A89" s="206" t="s">
        <v>13</v>
      </c>
      <c r="B89" s="5">
        <v>777</v>
      </c>
      <c r="C89" s="1" t="s">
        <v>10</v>
      </c>
      <c r="D89" s="1" t="s">
        <v>12</v>
      </c>
      <c r="E89" s="1" t="s">
        <v>431</v>
      </c>
      <c r="F89" s="1">
        <v>600</v>
      </c>
      <c r="G89" s="2">
        <v>6080.6109999999999</v>
      </c>
      <c r="H89" s="2">
        <v>5738.1850000000004</v>
      </c>
      <c r="I89" s="256">
        <f t="shared" si="2"/>
        <v>94.368559343789642</v>
      </c>
    </row>
    <row r="90" spans="1:9" ht="38.25" x14ac:dyDescent="0.2">
      <c r="A90" s="206" t="s">
        <v>432</v>
      </c>
      <c r="B90" s="5">
        <v>777</v>
      </c>
      <c r="C90" s="1" t="s">
        <v>10</v>
      </c>
      <c r="D90" s="1" t="s">
        <v>12</v>
      </c>
      <c r="E90" s="1" t="s">
        <v>433</v>
      </c>
      <c r="F90" s="1"/>
      <c r="G90" s="2">
        <f>+G91</f>
        <v>3786.4160000000002</v>
      </c>
      <c r="H90" s="2">
        <f>+H91</f>
        <v>3786.4160000000002</v>
      </c>
      <c r="I90" s="256">
        <f t="shared" si="2"/>
        <v>100</v>
      </c>
    </row>
    <row r="91" spans="1:9" ht="25.5" x14ac:dyDescent="0.2">
      <c r="A91" s="206" t="s">
        <v>13</v>
      </c>
      <c r="B91" s="5">
        <v>777</v>
      </c>
      <c r="C91" s="1" t="s">
        <v>10</v>
      </c>
      <c r="D91" s="1" t="s">
        <v>12</v>
      </c>
      <c r="E91" s="1" t="s">
        <v>433</v>
      </c>
      <c r="F91" s="1">
        <v>600</v>
      </c>
      <c r="G91" s="2">
        <v>3786.4160000000002</v>
      </c>
      <c r="H91" s="2">
        <v>3786.4160000000002</v>
      </c>
      <c r="I91" s="256">
        <f t="shared" si="2"/>
        <v>100</v>
      </c>
    </row>
    <row r="92" spans="1:9" x14ac:dyDescent="0.2">
      <c r="A92" s="207" t="s">
        <v>200</v>
      </c>
      <c r="B92" s="5">
        <v>777</v>
      </c>
      <c r="C92" s="1" t="s">
        <v>10</v>
      </c>
      <c r="D92" s="3" t="s">
        <v>98</v>
      </c>
      <c r="E92" s="1"/>
      <c r="F92" s="1"/>
      <c r="G92" s="2">
        <f t="shared" ref="G92:H94" si="4">+G93</f>
        <v>26257.455999999998</v>
      </c>
      <c r="H92" s="2">
        <f t="shared" si="4"/>
        <v>25759.23619</v>
      </c>
      <c r="I92" s="256">
        <f t="shared" si="2"/>
        <v>98.102558717036416</v>
      </c>
    </row>
    <row r="93" spans="1:9" x14ac:dyDescent="0.2">
      <c r="A93" s="206" t="s">
        <v>130</v>
      </c>
      <c r="B93" s="5">
        <v>777</v>
      </c>
      <c r="C93" s="1" t="s">
        <v>10</v>
      </c>
      <c r="D93" s="3" t="s">
        <v>98</v>
      </c>
      <c r="E93" s="1" t="s">
        <v>58</v>
      </c>
      <c r="F93" s="1"/>
      <c r="G93" s="2">
        <f t="shared" si="4"/>
        <v>26257.455999999998</v>
      </c>
      <c r="H93" s="2">
        <f t="shared" si="4"/>
        <v>25759.23619</v>
      </c>
      <c r="I93" s="256">
        <f t="shared" si="2"/>
        <v>98.102558717036416</v>
      </c>
    </row>
    <row r="94" spans="1:9" x14ac:dyDescent="0.2">
      <c r="A94" s="206" t="s">
        <v>86</v>
      </c>
      <c r="B94" s="5">
        <v>777</v>
      </c>
      <c r="C94" s="1" t="s">
        <v>10</v>
      </c>
      <c r="D94" s="3" t="s">
        <v>98</v>
      </c>
      <c r="E94" s="1" t="s">
        <v>58</v>
      </c>
      <c r="F94" s="1"/>
      <c r="G94" s="2">
        <f t="shared" si="4"/>
        <v>26257.455999999998</v>
      </c>
      <c r="H94" s="2">
        <f t="shared" si="4"/>
        <v>25759.23619</v>
      </c>
      <c r="I94" s="256">
        <f t="shared" si="2"/>
        <v>98.102558717036416</v>
      </c>
    </row>
    <row r="95" spans="1:9" ht="25.5" x14ac:dyDescent="0.2">
      <c r="A95" s="206" t="s">
        <v>13</v>
      </c>
      <c r="B95" s="5">
        <v>777</v>
      </c>
      <c r="C95" s="1" t="s">
        <v>10</v>
      </c>
      <c r="D95" s="3" t="s">
        <v>98</v>
      </c>
      <c r="E95" s="1" t="s">
        <v>58</v>
      </c>
      <c r="F95" s="1" t="s">
        <v>14</v>
      </c>
      <c r="G95" s="2">
        <v>26257.455999999998</v>
      </c>
      <c r="H95" s="2">
        <v>25759.23619</v>
      </c>
      <c r="I95" s="256">
        <f t="shared" si="2"/>
        <v>98.102558717036416</v>
      </c>
    </row>
    <row r="96" spans="1:9" x14ac:dyDescent="0.2">
      <c r="A96" s="206" t="s">
        <v>43</v>
      </c>
      <c r="B96" s="5">
        <v>777</v>
      </c>
      <c r="C96" s="1" t="s">
        <v>10</v>
      </c>
      <c r="D96" s="3"/>
      <c r="E96" s="1"/>
      <c r="F96" s="1"/>
      <c r="G96" s="2">
        <f>+G97</f>
        <v>248</v>
      </c>
      <c r="H96" s="2">
        <f>+H97</f>
        <v>248</v>
      </c>
      <c r="I96" s="256">
        <f t="shared" si="2"/>
        <v>100</v>
      </c>
    </row>
    <row r="97" spans="1:9" x14ac:dyDescent="0.2">
      <c r="A97" s="206" t="s">
        <v>169</v>
      </c>
      <c r="B97" s="5">
        <v>777</v>
      </c>
      <c r="C97" s="1" t="s">
        <v>10</v>
      </c>
      <c r="D97" s="3" t="s">
        <v>10</v>
      </c>
      <c r="E97" s="1" t="s">
        <v>89</v>
      </c>
      <c r="F97" s="1"/>
      <c r="G97" s="2">
        <f>+G98</f>
        <v>248</v>
      </c>
      <c r="H97" s="2">
        <f>+H98</f>
        <v>248</v>
      </c>
      <c r="I97" s="256">
        <f t="shared" si="2"/>
        <v>100</v>
      </c>
    </row>
    <row r="98" spans="1:9" ht="25.5" x14ac:dyDescent="0.2">
      <c r="A98" s="206" t="s">
        <v>127</v>
      </c>
      <c r="B98" s="5">
        <v>777</v>
      </c>
      <c r="C98" s="1" t="s">
        <v>10</v>
      </c>
      <c r="D98" s="3" t="s">
        <v>10</v>
      </c>
      <c r="E98" s="1" t="s">
        <v>89</v>
      </c>
      <c r="F98" s="1"/>
      <c r="G98" s="2">
        <f>+G99+G100</f>
        <v>248</v>
      </c>
      <c r="H98" s="2">
        <f>+H99+H100</f>
        <v>248</v>
      </c>
      <c r="I98" s="256">
        <f t="shared" si="2"/>
        <v>100</v>
      </c>
    </row>
    <row r="99" spans="1:9" ht="25.5" x14ac:dyDescent="0.2">
      <c r="A99" s="206" t="s">
        <v>13</v>
      </c>
      <c r="B99" s="5">
        <v>777</v>
      </c>
      <c r="C99" s="1" t="s">
        <v>10</v>
      </c>
      <c r="D99" s="3" t="s">
        <v>10</v>
      </c>
      <c r="E99" s="1" t="s">
        <v>89</v>
      </c>
      <c r="F99" s="1" t="s">
        <v>14</v>
      </c>
      <c r="G99" s="2">
        <v>0</v>
      </c>
      <c r="H99" s="2">
        <v>0</v>
      </c>
      <c r="I99" s="256" t="e">
        <f t="shared" si="2"/>
        <v>#DIV/0!</v>
      </c>
    </row>
    <row r="100" spans="1:9" ht="25.5" x14ac:dyDescent="0.2">
      <c r="A100" s="206" t="s">
        <v>13</v>
      </c>
      <c r="B100" s="5">
        <v>777</v>
      </c>
      <c r="C100" s="1" t="s">
        <v>10</v>
      </c>
      <c r="D100" s="3" t="s">
        <v>10</v>
      </c>
      <c r="E100" s="1" t="s">
        <v>184</v>
      </c>
      <c r="F100" s="1">
        <v>600</v>
      </c>
      <c r="G100" s="2">
        <v>248</v>
      </c>
      <c r="H100" s="2">
        <v>248</v>
      </c>
      <c r="I100" s="256">
        <f t="shared" si="2"/>
        <v>100</v>
      </c>
    </row>
    <row r="101" spans="1:9" x14ac:dyDescent="0.2">
      <c r="A101" s="206" t="s">
        <v>44</v>
      </c>
      <c r="B101" s="5">
        <v>777</v>
      </c>
      <c r="C101" s="1" t="s">
        <v>10</v>
      </c>
      <c r="D101" s="3" t="s">
        <v>102</v>
      </c>
      <c r="E101" s="1"/>
      <c r="F101" s="1"/>
      <c r="G101" s="2">
        <f>+G103+G105+G109+G111+G115</f>
        <v>21013.772000000004</v>
      </c>
      <c r="H101" s="2">
        <f>+H103+H105+H109+H111+H115</f>
        <v>20679.758600000001</v>
      </c>
      <c r="I101" s="256">
        <f t="shared" si="2"/>
        <v>98.410502407659123</v>
      </c>
    </row>
    <row r="102" spans="1:9" ht="25.5" x14ac:dyDescent="0.2">
      <c r="A102" s="206" t="s">
        <v>127</v>
      </c>
      <c r="B102" s="5">
        <v>777</v>
      </c>
      <c r="C102" s="1" t="s">
        <v>10</v>
      </c>
      <c r="D102" s="3" t="s">
        <v>102</v>
      </c>
      <c r="E102" s="1" t="s">
        <v>185</v>
      </c>
      <c r="F102" s="1"/>
      <c r="G102" s="2">
        <f>+G104+G105+G109</f>
        <v>708.81000000000006</v>
      </c>
      <c r="H102" s="2">
        <f>+H104+H105+H109</f>
        <v>708.81000000000006</v>
      </c>
      <c r="I102" s="256">
        <f t="shared" si="2"/>
        <v>100</v>
      </c>
    </row>
    <row r="103" spans="1:9" ht="25.5" x14ac:dyDescent="0.2">
      <c r="A103" s="206" t="s">
        <v>434</v>
      </c>
      <c r="B103" s="5">
        <v>777</v>
      </c>
      <c r="C103" s="1" t="s">
        <v>10</v>
      </c>
      <c r="D103" s="3" t="s">
        <v>102</v>
      </c>
      <c r="E103" s="1" t="s">
        <v>134</v>
      </c>
      <c r="F103" s="1"/>
      <c r="G103" s="2">
        <f>+G104</f>
        <v>24.14</v>
      </c>
      <c r="H103" s="2">
        <f>+H104</f>
        <v>24.14</v>
      </c>
      <c r="I103" s="256">
        <f t="shared" si="2"/>
        <v>100</v>
      </c>
    </row>
    <row r="104" spans="1:9" ht="25.5" x14ac:dyDescent="0.2">
      <c r="A104" s="210" t="s">
        <v>66</v>
      </c>
      <c r="B104" s="5">
        <v>777</v>
      </c>
      <c r="C104" s="1" t="s">
        <v>10</v>
      </c>
      <c r="D104" s="3" t="s">
        <v>102</v>
      </c>
      <c r="E104" s="1" t="s">
        <v>134</v>
      </c>
      <c r="F104" s="1">
        <v>200</v>
      </c>
      <c r="G104" s="18">
        <v>24.14</v>
      </c>
      <c r="H104" s="18">
        <v>24.14</v>
      </c>
      <c r="I104" s="256">
        <f t="shared" si="2"/>
        <v>100</v>
      </c>
    </row>
    <row r="105" spans="1:9" s="39" customFormat="1" ht="25.5" x14ac:dyDescent="0.2">
      <c r="A105" s="210" t="s">
        <v>435</v>
      </c>
      <c r="B105" s="5">
        <v>777</v>
      </c>
      <c r="C105" s="17" t="s">
        <v>10</v>
      </c>
      <c r="D105" s="17" t="s">
        <v>102</v>
      </c>
      <c r="E105" s="17" t="s">
        <v>172</v>
      </c>
      <c r="F105" s="17" t="s">
        <v>8</v>
      </c>
      <c r="G105" s="18">
        <f t="shared" ref="G105:H107" si="5">+G106</f>
        <v>586.95000000000005</v>
      </c>
      <c r="H105" s="18">
        <f t="shared" si="5"/>
        <v>586.95000000000005</v>
      </c>
      <c r="I105" s="256">
        <f t="shared" si="2"/>
        <v>100</v>
      </c>
    </row>
    <row r="106" spans="1:9" s="39" customFormat="1" x14ac:dyDescent="0.2">
      <c r="A106" s="210" t="s">
        <v>92</v>
      </c>
      <c r="B106" s="5">
        <v>777</v>
      </c>
      <c r="C106" s="17" t="s">
        <v>10</v>
      </c>
      <c r="D106" s="17" t="s">
        <v>102</v>
      </c>
      <c r="E106" s="17" t="s">
        <v>172</v>
      </c>
      <c r="F106" s="17" t="s">
        <v>8</v>
      </c>
      <c r="G106" s="18">
        <f t="shared" si="5"/>
        <v>586.95000000000005</v>
      </c>
      <c r="H106" s="18">
        <f t="shared" si="5"/>
        <v>586.95000000000005</v>
      </c>
      <c r="I106" s="256">
        <f t="shared" si="2"/>
        <v>100</v>
      </c>
    </row>
    <row r="107" spans="1:9" s="39" customFormat="1" x14ac:dyDescent="0.2">
      <c r="A107" s="210" t="s">
        <v>92</v>
      </c>
      <c r="B107" s="5">
        <v>777</v>
      </c>
      <c r="C107" s="17" t="s">
        <v>10</v>
      </c>
      <c r="D107" s="17" t="s">
        <v>102</v>
      </c>
      <c r="E107" s="17" t="s">
        <v>168</v>
      </c>
      <c r="F107" s="17" t="s">
        <v>8</v>
      </c>
      <c r="G107" s="18">
        <f t="shared" si="5"/>
        <v>586.95000000000005</v>
      </c>
      <c r="H107" s="18">
        <f t="shared" si="5"/>
        <v>586.95000000000005</v>
      </c>
      <c r="I107" s="256">
        <f t="shared" si="2"/>
        <v>100</v>
      </c>
    </row>
    <row r="108" spans="1:9" s="39" customFormat="1" ht="25.5" x14ac:dyDescent="0.2">
      <c r="A108" s="210" t="s">
        <v>66</v>
      </c>
      <c r="B108" s="5">
        <v>777</v>
      </c>
      <c r="C108" s="17" t="s">
        <v>10</v>
      </c>
      <c r="D108" s="17" t="s">
        <v>102</v>
      </c>
      <c r="E108" s="17" t="s">
        <v>168</v>
      </c>
      <c r="F108" s="17" t="s">
        <v>16</v>
      </c>
      <c r="G108" s="18">
        <v>586.95000000000005</v>
      </c>
      <c r="H108" s="18">
        <v>586.95000000000005</v>
      </c>
      <c r="I108" s="256">
        <f t="shared" si="2"/>
        <v>100</v>
      </c>
    </row>
    <row r="109" spans="1:9" s="39" customFormat="1" ht="25.5" x14ac:dyDescent="0.2">
      <c r="A109" s="210" t="s">
        <v>436</v>
      </c>
      <c r="B109" s="5">
        <v>777</v>
      </c>
      <c r="C109" s="17" t="s">
        <v>10</v>
      </c>
      <c r="D109" s="17" t="s">
        <v>102</v>
      </c>
      <c r="E109" s="17" t="s">
        <v>437</v>
      </c>
      <c r="F109" s="17"/>
      <c r="G109" s="18">
        <f>+G110</f>
        <v>97.72</v>
      </c>
      <c r="H109" s="18">
        <f>+H110</f>
        <v>97.72</v>
      </c>
      <c r="I109" s="256">
        <f t="shared" si="2"/>
        <v>100</v>
      </c>
    </row>
    <row r="110" spans="1:9" s="39" customFormat="1" ht="25.5" x14ac:dyDescent="0.2">
      <c r="A110" s="210" t="s">
        <v>66</v>
      </c>
      <c r="B110" s="5">
        <v>777</v>
      </c>
      <c r="C110" s="17" t="s">
        <v>10</v>
      </c>
      <c r="D110" s="17" t="s">
        <v>102</v>
      </c>
      <c r="E110" s="17" t="s">
        <v>437</v>
      </c>
      <c r="F110" s="17">
        <v>200</v>
      </c>
      <c r="G110" s="18">
        <v>97.72</v>
      </c>
      <c r="H110" s="18">
        <v>97.72</v>
      </c>
      <c r="I110" s="256">
        <f t="shared" si="2"/>
        <v>100</v>
      </c>
    </row>
    <row r="111" spans="1:9" ht="51" x14ac:dyDescent="0.2">
      <c r="A111" s="206" t="s">
        <v>90</v>
      </c>
      <c r="B111" s="5">
        <v>777</v>
      </c>
      <c r="C111" s="1" t="s">
        <v>10</v>
      </c>
      <c r="D111" s="3" t="s">
        <v>102</v>
      </c>
      <c r="E111" s="1" t="s">
        <v>133</v>
      </c>
      <c r="F111" s="1" t="s">
        <v>8</v>
      </c>
      <c r="G111" s="2">
        <f>+G112+G113+G114</f>
        <v>19060.744000000002</v>
      </c>
      <c r="H111" s="2">
        <f>+H112+H113+H114</f>
        <v>18744.5016</v>
      </c>
      <c r="I111" s="256">
        <f t="shared" si="2"/>
        <v>98.340870639677007</v>
      </c>
    </row>
    <row r="112" spans="1:9" ht="51" x14ac:dyDescent="0.2">
      <c r="A112" s="206" t="s">
        <v>21</v>
      </c>
      <c r="B112" s="5">
        <v>777</v>
      </c>
      <c r="C112" s="1" t="s">
        <v>10</v>
      </c>
      <c r="D112" s="3" t="s">
        <v>102</v>
      </c>
      <c r="E112" s="1" t="s">
        <v>133</v>
      </c>
      <c r="F112" s="1" t="s">
        <v>22</v>
      </c>
      <c r="G112" s="2">
        <v>17990.400000000001</v>
      </c>
      <c r="H112" s="2">
        <f>13598.95+4088.085</f>
        <v>17687.035</v>
      </c>
      <c r="I112" s="256">
        <f t="shared" si="2"/>
        <v>98.313739549982202</v>
      </c>
    </row>
    <row r="113" spans="1:12" ht="25.5" x14ac:dyDescent="0.2">
      <c r="A113" s="206" t="s">
        <v>66</v>
      </c>
      <c r="B113" s="5">
        <v>777</v>
      </c>
      <c r="C113" s="1" t="s">
        <v>10</v>
      </c>
      <c r="D113" s="3" t="s">
        <v>102</v>
      </c>
      <c r="E113" s="1" t="s">
        <v>133</v>
      </c>
      <c r="F113" s="1" t="s">
        <v>16</v>
      </c>
      <c r="G113" s="2">
        <f>316.695+717.27</f>
        <v>1033.9649999999999</v>
      </c>
      <c r="H113" s="2">
        <f>407.27115+613.81745</f>
        <v>1021.0886</v>
      </c>
      <c r="I113" s="256">
        <f t="shared" si="2"/>
        <v>98.754658039682212</v>
      </c>
    </row>
    <row r="114" spans="1:12" x14ac:dyDescent="0.2">
      <c r="A114" s="206" t="s">
        <v>24</v>
      </c>
      <c r="B114" s="5">
        <v>777</v>
      </c>
      <c r="C114" s="1" t="s">
        <v>10</v>
      </c>
      <c r="D114" s="3" t="s">
        <v>102</v>
      </c>
      <c r="E114" s="1" t="s">
        <v>133</v>
      </c>
      <c r="F114" s="1" t="s">
        <v>25</v>
      </c>
      <c r="G114" s="2">
        <v>36.378999999999998</v>
      </c>
      <c r="H114" s="2">
        <f>14.199+2.659+19.52</f>
        <v>36.378</v>
      </c>
      <c r="I114" s="256">
        <f t="shared" si="2"/>
        <v>99.997251161384327</v>
      </c>
    </row>
    <row r="115" spans="1:12" x14ac:dyDescent="0.2">
      <c r="A115" s="206" t="s">
        <v>143</v>
      </c>
      <c r="B115" s="5">
        <v>777</v>
      </c>
      <c r="C115" s="1" t="s">
        <v>10</v>
      </c>
      <c r="D115" s="3" t="s">
        <v>102</v>
      </c>
      <c r="E115" s="1" t="s">
        <v>71</v>
      </c>
      <c r="F115" s="1"/>
      <c r="G115" s="2">
        <f>+G116</f>
        <v>1244.2180000000001</v>
      </c>
      <c r="H115" s="2">
        <f>+H116</f>
        <v>1226.4470000000001</v>
      </c>
      <c r="I115" s="256">
        <f t="shared" si="2"/>
        <v>98.571713317119674</v>
      </c>
    </row>
    <row r="116" spans="1:12" ht="51" x14ac:dyDescent="0.2">
      <c r="A116" s="206" t="s">
        <v>21</v>
      </c>
      <c r="B116" s="5">
        <v>777</v>
      </c>
      <c r="C116" s="1" t="s">
        <v>10</v>
      </c>
      <c r="D116" s="3" t="s">
        <v>102</v>
      </c>
      <c r="E116" s="1" t="s">
        <v>71</v>
      </c>
      <c r="F116" s="1">
        <v>100</v>
      </c>
      <c r="G116" s="2">
        <v>1244.2180000000001</v>
      </c>
      <c r="H116" s="2">
        <f>944.1+282.347</f>
        <v>1226.4470000000001</v>
      </c>
      <c r="I116" s="256">
        <f t="shared" si="2"/>
        <v>98.571713317119674</v>
      </c>
    </row>
    <row r="117" spans="1:12" x14ac:dyDescent="0.2">
      <c r="A117" s="206" t="s">
        <v>65</v>
      </c>
      <c r="B117" s="5">
        <v>777</v>
      </c>
      <c r="C117" s="1" t="s">
        <v>97</v>
      </c>
      <c r="D117" s="1" t="s">
        <v>6</v>
      </c>
      <c r="E117" s="1" t="s">
        <v>64</v>
      </c>
      <c r="F117" s="1" t="s">
        <v>8</v>
      </c>
      <c r="G117" s="2">
        <f>+G118+G123</f>
        <v>2774.1750000000002</v>
      </c>
      <c r="H117" s="2">
        <f>+H118+H123</f>
        <v>2774.1750000000002</v>
      </c>
      <c r="I117" s="256">
        <f t="shared" si="2"/>
        <v>100</v>
      </c>
    </row>
    <row r="118" spans="1:12" x14ac:dyDescent="0.2">
      <c r="A118" s="206" t="s">
        <v>47</v>
      </c>
      <c r="B118" s="5">
        <v>777</v>
      </c>
      <c r="C118" s="1" t="s">
        <v>97</v>
      </c>
      <c r="D118" s="1" t="s">
        <v>98</v>
      </c>
      <c r="E118" s="1" t="s">
        <v>64</v>
      </c>
      <c r="F118" s="1" t="s">
        <v>8</v>
      </c>
      <c r="G118" s="2">
        <f t="shared" ref="G118:H121" si="6">+G119</f>
        <v>1122.3000000000002</v>
      </c>
      <c r="H118" s="2">
        <f t="shared" si="6"/>
        <v>1122.3000000000002</v>
      </c>
      <c r="I118" s="256">
        <f t="shared" si="2"/>
        <v>100</v>
      </c>
    </row>
    <row r="119" spans="1:12" x14ac:dyDescent="0.2">
      <c r="A119" s="206" t="s">
        <v>93</v>
      </c>
      <c r="B119" s="5">
        <v>777</v>
      </c>
      <c r="C119" s="1" t="s">
        <v>97</v>
      </c>
      <c r="D119" s="1" t="s">
        <v>98</v>
      </c>
      <c r="E119" s="1" t="s">
        <v>94</v>
      </c>
      <c r="F119" s="1" t="s">
        <v>8</v>
      </c>
      <c r="G119" s="2">
        <f t="shared" si="6"/>
        <v>1122.3000000000002</v>
      </c>
      <c r="H119" s="2">
        <f t="shared" si="6"/>
        <v>1122.3000000000002</v>
      </c>
      <c r="I119" s="256">
        <f t="shared" si="2"/>
        <v>100</v>
      </c>
    </row>
    <row r="120" spans="1:12" x14ac:dyDescent="0.2">
      <c r="A120" s="206" t="s">
        <v>93</v>
      </c>
      <c r="B120" s="5">
        <v>777</v>
      </c>
      <c r="C120" s="1" t="s">
        <v>97</v>
      </c>
      <c r="D120" s="1" t="s">
        <v>98</v>
      </c>
      <c r="E120" s="1" t="s">
        <v>94</v>
      </c>
      <c r="F120" s="1" t="s">
        <v>8</v>
      </c>
      <c r="G120" s="2">
        <f t="shared" si="6"/>
        <v>1122.3000000000002</v>
      </c>
      <c r="H120" s="2">
        <f t="shared" si="6"/>
        <v>1122.3000000000002</v>
      </c>
      <c r="I120" s="256">
        <f t="shared" si="2"/>
        <v>100</v>
      </c>
    </row>
    <row r="121" spans="1:12" x14ac:dyDescent="0.2">
      <c r="A121" s="206" t="s">
        <v>95</v>
      </c>
      <c r="B121" s="5">
        <v>777</v>
      </c>
      <c r="C121" s="1" t="s">
        <v>97</v>
      </c>
      <c r="D121" s="1" t="s">
        <v>98</v>
      </c>
      <c r="E121" s="1" t="s">
        <v>438</v>
      </c>
      <c r="F121" s="1" t="s">
        <v>8</v>
      </c>
      <c r="G121" s="2">
        <f t="shared" si="6"/>
        <v>1122.3000000000002</v>
      </c>
      <c r="H121" s="2">
        <f t="shared" si="6"/>
        <v>1122.3000000000002</v>
      </c>
      <c r="I121" s="256">
        <f t="shared" si="2"/>
        <v>100</v>
      </c>
    </row>
    <row r="122" spans="1:12" ht="51" x14ac:dyDescent="0.2">
      <c r="A122" s="206" t="s">
        <v>21</v>
      </c>
      <c r="B122" s="5">
        <v>777</v>
      </c>
      <c r="C122" s="1" t="s">
        <v>97</v>
      </c>
      <c r="D122" s="1" t="s">
        <v>98</v>
      </c>
      <c r="E122" s="1" t="s">
        <v>438</v>
      </c>
      <c r="F122" s="1">
        <v>600</v>
      </c>
      <c r="G122" s="2">
        <f>26.015+1096.285</f>
        <v>1122.3000000000002</v>
      </c>
      <c r="H122" s="2">
        <f>1096.285+26.015</f>
        <v>1122.3000000000002</v>
      </c>
      <c r="I122" s="256">
        <f t="shared" si="2"/>
        <v>100</v>
      </c>
    </row>
    <row r="123" spans="1:12" x14ac:dyDescent="0.2">
      <c r="A123" s="206" t="s">
        <v>45</v>
      </c>
      <c r="B123" s="5">
        <v>777</v>
      </c>
      <c r="C123" s="1" t="s">
        <v>97</v>
      </c>
      <c r="D123" s="1" t="s">
        <v>19</v>
      </c>
      <c r="E123" s="1"/>
      <c r="F123" s="1"/>
      <c r="G123" s="2">
        <f>+G124</f>
        <v>1651.875</v>
      </c>
      <c r="H123" s="2">
        <f>+H124</f>
        <v>1651.875</v>
      </c>
      <c r="I123" s="256">
        <f t="shared" si="2"/>
        <v>100</v>
      </c>
    </row>
    <row r="124" spans="1:12" ht="51" x14ac:dyDescent="0.2">
      <c r="A124" s="206" t="s">
        <v>107</v>
      </c>
      <c r="B124" s="5">
        <v>777</v>
      </c>
      <c r="C124" s="1" t="s">
        <v>97</v>
      </c>
      <c r="D124" s="1" t="s">
        <v>19</v>
      </c>
      <c r="E124" s="1" t="s">
        <v>215</v>
      </c>
      <c r="F124" s="1" t="s">
        <v>8</v>
      </c>
      <c r="G124" s="2">
        <f>+G125</f>
        <v>1651.875</v>
      </c>
      <c r="H124" s="2">
        <f>+H125</f>
        <v>1651.875</v>
      </c>
      <c r="I124" s="256">
        <f t="shared" si="2"/>
        <v>100</v>
      </c>
    </row>
    <row r="125" spans="1:12" x14ac:dyDescent="0.2">
      <c r="A125" s="206" t="s">
        <v>69</v>
      </c>
      <c r="B125" s="5">
        <v>777</v>
      </c>
      <c r="C125" s="1" t="s">
        <v>97</v>
      </c>
      <c r="D125" s="3" t="s">
        <v>19</v>
      </c>
      <c r="E125" s="1" t="s">
        <v>215</v>
      </c>
      <c r="F125" s="1">
        <v>300</v>
      </c>
      <c r="G125" s="2">
        <v>1651.875</v>
      </c>
      <c r="H125" s="2">
        <v>1651.875</v>
      </c>
      <c r="I125" s="256">
        <f t="shared" si="2"/>
        <v>100</v>
      </c>
    </row>
    <row r="126" spans="1:12" s="42" customFormat="1" x14ac:dyDescent="0.2">
      <c r="A126" s="205" t="s">
        <v>135</v>
      </c>
      <c r="B126" s="4">
        <v>782</v>
      </c>
      <c r="C126" s="1" t="s">
        <v>97</v>
      </c>
      <c r="D126" s="188"/>
      <c r="E126" s="188"/>
      <c r="F126" s="188"/>
      <c r="G126" s="15">
        <f>+G127+G131+G146+G159</f>
        <v>141805.95676</v>
      </c>
      <c r="H126" s="15">
        <f>+H127+H131+H146+H159</f>
        <v>139186.53367</v>
      </c>
      <c r="I126" s="256">
        <f t="shared" si="2"/>
        <v>98.15281166613245</v>
      </c>
      <c r="J126" s="143"/>
      <c r="L126" s="143"/>
    </row>
    <row r="127" spans="1:12" s="42" customFormat="1" x14ac:dyDescent="0.2">
      <c r="A127" s="206" t="s">
        <v>136</v>
      </c>
      <c r="B127" s="5">
        <v>782</v>
      </c>
      <c r="C127" s="1" t="s">
        <v>97</v>
      </c>
      <c r="D127" s="6">
        <v>1</v>
      </c>
      <c r="E127" s="188"/>
      <c r="F127" s="188"/>
      <c r="G127" s="15">
        <f t="shared" ref="G127:H129" si="7">+G128</f>
        <v>345.53</v>
      </c>
      <c r="H127" s="15">
        <f t="shared" si="7"/>
        <v>345.529</v>
      </c>
      <c r="I127" s="256">
        <f t="shared" si="2"/>
        <v>99.99971058952913</v>
      </c>
    </row>
    <row r="128" spans="1:12" x14ac:dyDescent="0.2">
      <c r="A128" s="206" t="s">
        <v>47</v>
      </c>
      <c r="B128" s="5">
        <v>782</v>
      </c>
      <c r="C128" s="1" t="s">
        <v>97</v>
      </c>
      <c r="D128" s="6">
        <v>1</v>
      </c>
      <c r="E128" s="1" t="s">
        <v>145</v>
      </c>
      <c r="F128" s="1"/>
      <c r="G128" s="2">
        <f t="shared" si="7"/>
        <v>345.53</v>
      </c>
      <c r="H128" s="2">
        <f t="shared" si="7"/>
        <v>345.529</v>
      </c>
      <c r="I128" s="256">
        <f t="shared" si="2"/>
        <v>99.99971058952913</v>
      </c>
    </row>
    <row r="129" spans="1:9" x14ac:dyDescent="0.2">
      <c r="A129" s="206" t="s">
        <v>46</v>
      </c>
      <c r="B129" s="5">
        <v>782</v>
      </c>
      <c r="C129" s="1" t="s">
        <v>97</v>
      </c>
      <c r="D129" s="6">
        <v>1</v>
      </c>
      <c r="E129" s="1" t="s">
        <v>145</v>
      </c>
      <c r="F129" s="1"/>
      <c r="G129" s="2">
        <f t="shared" si="7"/>
        <v>345.53</v>
      </c>
      <c r="H129" s="2">
        <f t="shared" si="7"/>
        <v>345.529</v>
      </c>
      <c r="I129" s="256">
        <f t="shared" si="2"/>
        <v>99.99971058952913</v>
      </c>
    </row>
    <row r="130" spans="1:9" x14ac:dyDescent="0.2">
      <c r="A130" s="206" t="s">
        <v>69</v>
      </c>
      <c r="B130" s="5">
        <v>782</v>
      </c>
      <c r="C130" s="1" t="s">
        <v>97</v>
      </c>
      <c r="D130" s="6">
        <v>1</v>
      </c>
      <c r="E130" s="1" t="s">
        <v>145</v>
      </c>
      <c r="F130" s="1" t="s">
        <v>99</v>
      </c>
      <c r="G130" s="2">
        <v>345.53</v>
      </c>
      <c r="H130" s="2">
        <f>0.84+344.689</f>
        <v>345.529</v>
      </c>
      <c r="I130" s="256">
        <f t="shared" si="2"/>
        <v>99.99971058952913</v>
      </c>
    </row>
    <row r="131" spans="1:9" x14ac:dyDescent="0.2">
      <c r="A131" s="205" t="s">
        <v>138</v>
      </c>
      <c r="B131" s="4">
        <v>783</v>
      </c>
      <c r="C131" s="188">
        <v>10</v>
      </c>
      <c r="D131" s="211">
        <v>3</v>
      </c>
      <c r="E131" s="1"/>
      <c r="F131" s="1"/>
      <c r="G131" s="15">
        <f>+G132+G134+G136+G138+G140+G142+G144</f>
        <v>23833.463189999999</v>
      </c>
      <c r="H131" s="15">
        <f>+H132+H134+H136+H138+H140+H142+H144</f>
        <v>23787.013429999999</v>
      </c>
      <c r="I131" s="256">
        <f t="shared" si="2"/>
        <v>99.805106963978744</v>
      </c>
    </row>
    <row r="132" spans="1:9" ht="25.5" x14ac:dyDescent="0.2">
      <c r="A132" s="206" t="s">
        <v>137</v>
      </c>
      <c r="B132" s="5">
        <v>782</v>
      </c>
      <c r="C132" s="1" t="s">
        <v>97</v>
      </c>
      <c r="D132" s="6">
        <v>3</v>
      </c>
      <c r="E132" s="1" t="s">
        <v>210</v>
      </c>
      <c r="F132" s="1"/>
      <c r="G132" s="2">
        <f>+G133</f>
        <v>4233.8230000000003</v>
      </c>
      <c r="H132" s="2">
        <f>+H133</f>
        <v>4233.8229999999994</v>
      </c>
      <c r="I132" s="256">
        <f t="shared" si="2"/>
        <v>99.999999999999972</v>
      </c>
    </row>
    <row r="133" spans="1:9" x14ac:dyDescent="0.2">
      <c r="A133" s="206" t="s">
        <v>69</v>
      </c>
      <c r="B133" s="5">
        <v>782</v>
      </c>
      <c r="C133" s="1" t="s">
        <v>97</v>
      </c>
      <c r="D133" s="6">
        <v>3</v>
      </c>
      <c r="E133" s="1" t="s">
        <v>210</v>
      </c>
      <c r="F133" s="1" t="s">
        <v>99</v>
      </c>
      <c r="G133" s="2">
        <v>4233.8230000000003</v>
      </c>
      <c r="H133" s="2">
        <f>68.855+4164.968</f>
        <v>4233.8229999999994</v>
      </c>
      <c r="I133" s="256">
        <f t="shared" si="2"/>
        <v>99.999999999999972</v>
      </c>
    </row>
    <row r="134" spans="1:9" x14ac:dyDescent="0.2">
      <c r="A134" s="206" t="s">
        <v>140</v>
      </c>
      <c r="B134" s="5">
        <v>782</v>
      </c>
      <c r="C134" s="1" t="s">
        <v>97</v>
      </c>
      <c r="D134" s="6">
        <v>3</v>
      </c>
      <c r="E134" s="1" t="s">
        <v>211</v>
      </c>
      <c r="F134" s="1"/>
      <c r="G134" s="2">
        <f>+G135</f>
        <v>171.91318999999999</v>
      </c>
      <c r="H134" s="2">
        <f>+H135</f>
        <v>154.64643000000001</v>
      </c>
      <c r="I134" s="256">
        <f t="shared" si="2"/>
        <v>89.956116805231773</v>
      </c>
    </row>
    <row r="135" spans="1:9" x14ac:dyDescent="0.2">
      <c r="A135" s="206" t="s">
        <v>69</v>
      </c>
      <c r="B135" s="5">
        <v>782</v>
      </c>
      <c r="C135" s="1" t="s">
        <v>97</v>
      </c>
      <c r="D135" s="6">
        <v>3</v>
      </c>
      <c r="E135" s="1" t="s">
        <v>211</v>
      </c>
      <c r="F135" s="1" t="s">
        <v>99</v>
      </c>
      <c r="G135" s="2">
        <v>171.91318999999999</v>
      </c>
      <c r="H135" s="2">
        <v>154.64643000000001</v>
      </c>
      <c r="I135" s="256">
        <f t="shared" si="2"/>
        <v>89.956116805231773</v>
      </c>
    </row>
    <row r="136" spans="1:9" ht="25.5" x14ac:dyDescent="0.2">
      <c r="A136" s="206" t="s">
        <v>85</v>
      </c>
      <c r="B136" s="5">
        <v>782</v>
      </c>
      <c r="C136" s="1" t="s">
        <v>97</v>
      </c>
      <c r="D136" s="6">
        <v>3</v>
      </c>
      <c r="E136" s="1" t="s">
        <v>212</v>
      </c>
      <c r="F136" s="1"/>
      <c r="G136" s="2">
        <f>+G137</f>
        <v>6458</v>
      </c>
      <c r="H136" s="2">
        <f>+H137</f>
        <v>6458</v>
      </c>
      <c r="I136" s="256">
        <f t="shared" si="2"/>
        <v>100</v>
      </c>
    </row>
    <row r="137" spans="1:9" x14ac:dyDescent="0.2">
      <c r="A137" s="206" t="s">
        <v>69</v>
      </c>
      <c r="B137" s="5">
        <v>782</v>
      </c>
      <c r="C137" s="1" t="s">
        <v>97</v>
      </c>
      <c r="D137" s="6">
        <v>3</v>
      </c>
      <c r="E137" s="1" t="s">
        <v>212</v>
      </c>
      <c r="F137" s="1" t="s">
        <v>99</v>
      </c>
      <c r="G137" s="2">
        <v>6458</v>
      </c>
      <c r="H137" s="2">
        <f>95.36639+6362.63361</f>
        <v>6458</v>
      </c>
      <c r="I137" s="256">
        <f t="shared" si="2"/>
        <v>100</v>
      </c>
    </row>
    <row r="138" spans="1:9" ht="25.5" x14ac:dyDescent="0.2">
      <c r="A138" s="206" t="s">
        <v>49</v>
      </c>
      <c r="B138" s="5">
        <v>782</v>
      </c>
      <c r="C138" s="1" t="s">
        <v>97</v>
      </c>
      <c r="D138" s="6">
        <v>3</v>
      </c>
      <c r="E138" s="1" t="s">
        <v>213</v>
      </c>
      <c r="F138" s="1"/>
      <c r="G138" s="2">
        <f>+G139</f>
        <v>6920</v>
      </c>
      <c r="H138" s="2">
        <f>+H139</f>
        <v>6920</v>
      </c>
      <c r="I138" s="256">
        <f t="shared" si="2"/>
        <v>100</v>
      </c>
    </row>
    <row r="139" spans="1:9" x14ac:dyDescent="0.2">
      <c r="A139" s="206" t="s">
        <v>69</v>
      </c>
      <c r="B139" s="5">
        <v>782</v>
      </c>
      <c r="C139" s="1" t="s">
        <v>97</v>
      </c>
      <c r="D139" s="6">
        <v>3</v>
      </c>
      <c r="E139" s="1" t="s">
        <v>213</v>
      </c>
      <c r="F139" s="1" t="s">
        <v>99</v>
      </c>
      <c r="G139" s="2">
        <v>6920</v>
      </c>
      <c r="H139" s="2">
        <f>100.11407+6819.88593</f>
        <v>6920</v>
      </c>
      <c r="I139" s="256">
        <f t="shared" ref="I139:I202" si="8">+H139/G139*100</f>
        <v>100</v>
      </c>
    </row>
    <row r="140" spans="1:9" x14ac:dyDescent="0.2">
      <c r="A140" s="206" t="s">
        <v>218</v>
      </c>
      <c r="B140" s="5">
        <v>782</v>
      </c>
      <c r="C140" s="1" t="s">
        <v>97</v>
      </c>
      <c r="D140" s="6">
        <v>3</v>
      </c>
      <c r="E140" s="1" t="s">
        <v>67</v>
      </c>
      <c r="F140" s="1"/>
      <c r="G140" s="2">
        <f>+G141</f>
        <v>6049.7269999999999</v>
      </c>
      <c r="H140" s="2">
        <f>+H141</f>
        <v>6020.5439999999999</v>
      </c>
      <c r="I140" s="256">
        <f t="shared" si="8"/>
        <v>99.51761459649336</v>
      </c>
    </row>
    <row r="141" spans="1:9" x14ac:dyDescent="0.2">
      <c r="A141" s="206" t="s">
        <v>69</v>
      </c>
      <c r="B141" s="5">
        <v>782</v>
      </c>
      <c r="C141" s="1" t="s">
        <v>97</v>
      </c>
      <c r="D141" s="6">
        <v>3</v>
      </c>
      <c r="E141" s="1" t="s">
        <v>67</v>
      </c>
      <c r="F141" s="1" t="s">
        <v>99</v>
      </c>
      <c r="G141" s="2">
        <v>6049.7269999999999</v>
      </c>
      <c r="H141" s="2">
        <v>6020.5439999999999</v>
      </c>
      <c r="I141" s="256">
        <f t="shared" si="8"/>
        <v>99.51761459649336</v>
      </c>
    </row>
    <row r="142" spans="1:9" ht="25.5" hidden="1" x14ac:dyDescent="0.2">
      <c r="A142" s="210" t="s">
        <v>439</v>
      </c>
      <c r="B142" s="5">
        <v>782</v>
      </c>
      <c r="C142" s="17" t="s">
        <v>97</v>
      </c>
      <c r="D142" s="6">
        <v>3</v>
      </c>
      <c r="E142" s="17" t="s">
        <v>440</v>
      </c>
      <c r="F142" s="17"/>
      <c r="G142" s="18">
        <f>+G143</f>
        <v>0</v>
      </c>
      <c r="H142" s="18">
        <f>+H143</f>
        <v>0</v>
      </c>
      <c r="I142" s="256" t="e">
        <f t="shared" si="8"/>
        <v>#DIV/0!</v>
      </c>
    </row>
    <row r="143" spans="1:9" hidden="1" x14ac:dyDescent="0.2">
      <c r="A143" s="210" t="s">
        <v>69</v>
      </c>
      <c r="B143" s="5">
        <v>782</v>
      </c>
      <c r="C143" s="17" t="s">
        <v>97</v>
      </c>
      <c r="D143" s="6">
        <v>3</v>
      </c>
      <c r="E143" s="17" t="s">
        <v>440</v>
      </c>
      <c r="F143" s="17" t="s">
        <v>99</v>
      </c>
      <c r="G143" s="18">
        <v>0</v>
      </c>
      <c r="H143" s="18">
        <v>0</v>
      </c>
      <c r="I143" s="256" t="e">
        <f t="shared" si="8"/>
        <v>#DIV/0!</v>
      </c>
    </row>
    <row r="144" spans="1:9" ht="25.5" hidden="1" x14ac:dyDescent="0.2">
      <c r="A144" s="12" t="s">
        <v>48</v>
      </c>
      <c r="B144" s="5">
        <v>782</v>
      </c>
      <c r="C144" s="17">
        <v>10</v>
      </c>
      <c r="D144" s="6">
        <v>3</v>
      </c>
      <c r="E144" s="17" t="s">
        <v>96</v>
      </c>
      <c r="F144" s="12"/>
      <c r="G144" s="69">
        <f>+G145</f>
        <v>0</v>
      </c>
      <c r="H144" s="69">
        <f>+H145</f>
        <v>0</v>
      </c>
      <c r="I144" s="256" t="e">
        <f t="shared" si="8"/>
        <v>#DIV/0!</v>
      </c>
    </row>
    <row r="145" spans="1:9" hidden="1" x14ac:dyDescent="0.2">
      <c r="A145" s="206" t="s">
        <v>69</v>
      </c>
      <c r="B145" s="5">
        <v>782</v>
      </c>
      <c r="C145" s="1" t="s">
        <v>97</v>
      </c>
      <c r="D145" s="6">
        <v>3</v>
      </c>
      <c r="E145" s="1" t="s">
        <v>96</v>
      </c>
      <c r="F145" s="1" t="s">
        <v>99</v>
      </c>
      <c r="G145" s="2">
        <v>0</v>
      </c>
      <c r="H145" s="2">
        <v>0</v>
      </c>
      <c r="I145" s="256" t="e">
        <f t="shared" si="8"/>
        <v>#DIV/0!</v>
      </c>
    </row>
    <row r="146" spans="1:9" x14ac:dyDescent="0.2">
      <c r="A146" s="212" t="s">
        <v>45</v>
      </c>
      <c r="B146" s="4">
        <v>782</v>
      </c>
      <c r="C146" s="213" t="s">
        <v>97</v>
      </c>
      <c r="D146" s="214" t="s">
        <v>19</v>
      </c>
      <c r="E146" s="17"/>
      <c r="F146" s="17"/>
      <c r="G146" s="21">
        <f>+G147+G149+G151+G153+G155+G157</f>
        <v>111664.19756999999</v>
      </c>
      <c r="H146" s="21">
        <f>+H147+H149+H151+H153+H155+H157</f>
        <v>109175.12166</v>
      </c>
      <c r="I146" s="256">
        <f t="shared" si="8"/>
        <v>97.770927509294438</v>
      </c>
    </row>
    <row r="147" spans="1:9" ht="38.25" x14ac:dyDescent="0.2">
      <c r="A147" s="210" t="s">
        <v>441</v>
      </c>
      <c r="B147" s="5">
        <v>782</v>
      </c>
      <c r="C147" s="17" t="s">
        <v>97</v>
      </c>
      <c r="D147" s="26" t="s">
        <v>19</v>
      </c>
      <c r="E147" s="17" t="s">
        <v>68</v>
      </c>
      <c r="F147" s="17"/>
      <c r="G147" s="18">
        <f>+G148</f>
        <v>19015.298180000002</v>
      </c>
      <c r="H147" s="18">
        <f>+H148</f>
        <v>18714.278180000001</v>
      </c>
      <c r="I147" s="256">
        <f t="shared" si="8"/>
        <v>98.416958823624398</v>
      </c>
    </row>
    <row r="148" spans="1:9" x14ac:dyDescent="0.2">
      <c r="A148" s="210" t="s">
        <v>69</v>
      </c>
      <c r="B148" s="5">
        <v>782</v>
      </c>
      <c r="C148" s="17" t="s">
        <v>97</v>
      </c>
      <c r="D148" s="26" t="s">
        <v>19</v>
      </c>
      <c r="E148" s="17" t="s">
        <v>68</v>
      </c>
      <c r="F148" s="17" t="s">
        <v>99</v>
      </c>
      <c r="G148" s="18">
        <v>19015.298180000002</v>
      </c>
      <c r="H148" s="18">
        <v>18714.278180000001</v>
      </c>
      <c r="I148" s="256">
        <f t="shared" si="8"/>
        <v>98.416958823624398</v>
      </c>
    </row>
    <row r="149" spans="1:9" ht="25.5" x14ac:dyDescent="0.2">
      <c r="A149" s="210" t="s">
        <v>442</v>
      </c>
      <c r="B149" s="5">
        <v>782</v>
      </c>
      <c r="C149" s="17" t="s">
        <v>97</v>
      </c>
      <c r="D149" s="26" t="s">
        <v>19</v>
      </c>
      <c r="E149" s="17" t="s">
        <v>443</v>
      </c>
      <c r="F149" s="17"/>
      <c r="G149" s="18">
        <f>+G150</f>
        <v>18334.7</v>
      </c>
      <c r="H149" s="18">
        <f>+H150</f>
        <v>18283.016</v>
      </c>
      <c r="I149" s="256">
        <f t="shared" si="8"/>
        <v>99.718108286473182</v>
      </c>
    </row>
    <row r="150" spans="1:9" x14ac:dyDescent="0.2">
      <c r="A150" s="210" t="s">
        <v>69</v>
      </c>
      <c r="B150" s="5">
        <v>782</v>
      </c>
      <c r="C150" s="17" t="s">
        <v>97</v>
      </c>
      <c r="D150" s="26" t="s">
        <v>19</v>
      </c>
      <c r="E150" s="17" t="s">
        <v>443</v>
      </c>
      <c r="F150" s="17" t="s">
        <v>99</v>
      </c>
      <c r="G150" s="18">
        <v>18334.7</v>
      </c>
      <c r="H150" s="18">
        <v>18283.016</v>
      </c>
      <c r="I150" s="256">
        <f t="shared" si="8"/>
        <v>99.718108286473182</v>
      </c>
    </row>
    <row r="151" spans="1:9" ht="60" x14ac:dyDescent="0.2">
      <c r="A151" s="215" t="s">
        <v>444</v>
      </c>
      <c r="B151" s="5">
        <v>782</v>
      </c>
      <c r="C151" s="17" t="s">
        <v>97</v>
      </c>
      <c r="D151" s="26" t="s">
        <v>19</v>
      </c>
      <c r="E151" s="216" t="s">
        <v>445</v>
      </c>
      <c r="F151" s="17"/>
      <c r="G151" s="18">
        <f>+G152</f>
        <v>3557.2</v>
      </c>
      <c r="H151" s="18">
        <f>+H152</f>
        <v>1807.88509</v>
      </c>
      <c r="I151" s="256">
        <f t="shared" si="8"/>
        <v>50.823262397391211</v>
      </c>
    </row>
    <row r="152" spans="1:9" x14ac:dyDescent="0.2">
      <c r="A152" s="210" t="s">
        <v>69</v>
      </c>
      <c r="B152" s="5">
        <v>782</v>
      </c>
      <c r="C152" s="17" t="s">
        <v>97</v>
      </c>
      <c r="D152" s="26" t="s">
        <v>19</v>
      </c>
      <c r="E152" s="217" t="s">
        <v>445</v>
      </c>
      <c r="F152" s="218" t="s">
        <v>446</v>
      </c>
      <c r="G152" s="18">
        <v>3557.2</v>
      </c>
      <c r="H152" s="18">
        <v>1807.88509</v>
      </c>
      <c r="I152" s="256">
        <f t="shared" si="8"/>
        <v>50.823262397391211</v>
      </c>
    </row>
    <row r="153" spans="1:9" ht="36" x14ac:dyDescent="0.2">
      <c r="A153" s="215" t="s">
        <v>447</v>
      </c>
      <c r="B153" s="5">
        <v>782</v>
      </c>
      <c r="C153" s="17" t="s">
        <v>97</v>
      </c>
      <c r="D153" s="26" t="s">
        <v>19</v>
      </c>
      <c r="E153" s="219" t="s">
        <v>448</v>
      </c>
      <c r="F153" s="17"/>
      <c r="G153" s="18">
        <f>+G154</f>
        <v>5693.4543899999999</v>
      </c>
      <c r="H153" s="18">
        <f>+H154</f>
        <v>5693.4543899999999</v>
      </c>
      <c r="I153" s="256">
        <f t="shared" si="8"/>
        <v>100</v>
      </c>
    </row>
    <row r="154" spans="1:9" x14ac:dyDescent="0.2">
      <c r="A154" s="210" t="s">
        <v>69</v>
      </c>
      <c r="B154" s="5">
        <v>782</v>
      </c>
      <c r="C154" s="17" t="s">
        <v>97</v>
      </c>
      <c r="D154" s="26" t="s">
        <v>19</v>
      </c>
      <c r="E154" s="219" t="s">
        <v>448</v>
      </c>
      <c r="F154" s="17">
        <v>300</v>
      </c>
      <c r="G154" s="18">
        <v>5693.4543899999999</v>
      </c>
      <c r="H154" s="18">
        <v>5693.4543899999999</v>
      </c>
      <c r="I154" s="256">
        <f t="shared" si="8"/>
        <v>100</v>
      </c>
    </row>
    <row r="155" spans="1:9" ht="24" x14ac:dyDescent="0.2">
      <c r="A155" s="220" t="s">
        <v>449</v>
      </c>
      <c r="B155" s="5">
        <v>783</v>
      </c>
      <c r="C155" s="17" t="s">
        <v>97</v>
      </c>
      <c r="D155" s="26" t="s">
        <v>19</v>
      </c>
      <c r="E155" s="221" t="s">
        <v>450</v>
      </c>
      <c r="F155" s="17"/>
      <c r="G155" s="18">
        <f>+G156</f>
        <v>25901.881000000001</v>
      </c>
      <c r="H155" s="18">
        <f>+H156</f>
        <v>25902.881000000001</v>
      </c>
      <c r="I155" s="256">
        <f t="shared" si="8"/>
        <v>100.00386072347409</v>
      </c>
    </row>
    <row r="156" spans="1:9" x14ac:dyDescent="0.2">
      <c r="A156" s="210" t="s">
        <v>69</v>
      </c>
      <c r="B156" s="5">
        <v>784</v>
      </c>
      <c r="C156" s="17" t="s">
        <v>97</v>
      </c>
      <c r="D156" s="26" t="s">
        <v>19</v>
      </c>
      <c r="E156" s="221" t="s">
        <v>450</v>
      </c>
      <c r="F156" s="17">
        <v>300</v>
      </c>
      <c r="G156" s="18">
        <v>25901.881000000001</v>
      </c>
      <c r="H156" s="18">
        <v>25902.881000000001</v>
      </c>
      <c r="I156" s="256">
        <f t="shared" si="8"/>
        <v>100.00386072347409</v>
      </c>
    </row>
    <row r="157" spans="1:9" ht="33.75" x14ac:dyDescent="0.2">
      <c r="A157" s="222" t="s">
        <v>451</v>
      </c>
      <c r="B157" s="5">
        <v>785</v>
      </c>
      <c r="C157" s="17" t="s">
        <v>97</v>
      </c>
      <c r="D157" s="26" t="s">
        <v>19</v>
      </c>
      <c r="E157" s="219" t="s">
        <v>452</v>
      </c>
      <c r="F157" s="17"/>
      <c r="G157" s="18">
        <f>+G158</f>
        <v>39161.663999999997</v>
      </c>
      <c r="H157" s="18">
        <f>+H158</f>
        <v>38773.607000000004</v>
      </c>
      <c r="I157" s="256">
        <f t="shared" si="8"/>
        <v>99.009089603546997</v>
      </c>
    </row>
    <row r="158" spans="1:9" x14ac:dyDescent="0.2">
      <c r="A158" s="210" t="s">
        <v>69</v>
      </c>
      <c r="B158" s="5">
        <v>782</v>
      </c>
      <c r="C158" s="17" t="s">
        <v>97</v>
      </c>
      <c r="D158" s="26" t="s">
        <v>19</v>
      </c>
      <c r="E158" s="219" t="s">
        <v>452</v>
      </c>
      <c r="F158" s="17">
        <v>300</v>
      </c>
      <c r="G158" s="18">
        <v>39161.663999999997</v>
      </c>
      <c r="H158" s="18">
        <v>38773.607000000004</v>
      </c>
      <c r="I158" s="256">
        <f t="shared" si="8"/>
        <v>99.009089603546997</v>
      </c>
    </row>
    <row r="159" spans="1:9" x14ac:dyDescent="0.2">
      <c r="A159" s="212" t="s">
        <v>141</v>
      </c>
      <c r="B159" s="4">
        <v>782</v>
      </c>
      <c r="C159" s="213" t="s">
        <v>97</v>
      </c>
      <c r="D159" s="211">
        <v>6</v>
      </c>
      <c r="E159" s="213"/>
      <c r="F159" s="17"/>
      <c r="G159" s="21">
        <f>+G160+G164+G166</f>
        <v>5962.7659999999996</v>
      </c>
      <c r="H159" s="21">
        <f>+H160+H164+H166</f>
        <v>5878.8695799999996</v>
      </c>
      <c r="I159" s="256">
        <f t="shared" si="8"/>
        <v>98.592994928863547</v>
      </c>
    </row>
    <row r="160" spans="1:9" x14ac:dyDescent="0.2">
      <c r="A160" s="206" t="s">
        <v>142</v>
      </c>
      <c r="B160" s="5">
        <v>782</v>
      </c>
      <c r="C160" s="1" t="s">
        <v>97</v>
      </c>
      <c r="D160" s="6">
        <v>6</v>
      </c>
      <c r="E160" s="1" t="s">
        <v>70</v>
      </c>
      <c r="F160" s="1"/>
      <c r="G160" s="2">
        <f>+G161+G162+G163</f>
        <v>5516.5659999999998</v>
      </c>
      <c r="H160" s="2">
        <f>+H161+H162+H163</f>
        <v>5432.6695799999998</v>
      </c>
      <c r="I160" s="256">
        <f t="shared" si="8"/>
        <v>98.479191221495398</v>
      </c>
    </row>
    <row r="161" spans="1:12" ht="51" x14ac:dyDescent="0.2">
      <c r="A161" s="206" t="s">
        <v>21</v>
      </c>
      <c r="B161" s="5">
        <v>782</v>
      </c>
      <c r="C161" s="1" t="s">
        <v>97</v>
      </c>
      <c r="D161" s="6">
        <v>6</v>
      </c>
      <c r="E161" s="1" t="s">
        <v>71</v>
      </c>
      <c r="F161" s="1">
        <v>100</v>
      </c>
      <c r="G161" s="2">
        <v>4934.3999999999996</v>
      </c>
      <c r="H161" s="2">
        <f>3727.143+1123.36215</f>
        <v>4850.50515</v>
      </c>
      <c r="I161" s="256">
        <f t="shared" si="8"/>
        <v>98.299796327821014</v>
      </c>
    </row>
    <row r="162" spans="1:12" ht="25.5" x14ac:dyDescent="0.2">
      <c r="A162" s="206" t="s">
        <v>66</v>
      </c>
      <c r="B162" s="5">
        <v>782</v>
      </c>
      <c r="C162" s="1" t="s">
        <v>97</v>
      </c>
      <c r="D162" s="6">
        <v>6</v>
      </c>
      <c r="E162" s="1" t="s">
        <v>72</v>
      </c>
      <c r="F162" s="1" t="s">
        <v>16</v>
      </c>
      <c r="G162" s="2">
        <f>344.013+215.594</f>
        <v>559.60699999999997</v>
      </c>
      <c r="H162" s="2">
        <f>160.84323+398.76227</f>
        <v>559.60550000000001</v>
      </c>
      <c r="I162" s="256">
        <f t="shared" si="8"/>
        <v>99.999731954746821</v>
      </c>
    </row>
    <row r="163" spans="1:12" x14ac:dyDescent="0.2">
      <c r="A163" s="206" t="s">
        <v>24</v>
      </c>
      <c r="B163" s="5">
        <v>782</v>
      </c>
      <c r="C163" s="1" t="s">
        <v>97</v>
      </c>
      <c r="D163" s="6">
        <v>6</v>
      </c>
      <c r="E163" s="1" t="s">
        <v>72</v>
      </c>
      <c r="F163" s="1" t="s">
        <v>25</v>
      </c>
      <c r="G163" s="2">
        <v>22.559000000000001</v>
      </c>
      <c r="H163" s="2">
        <f>19.477+3.08193</f>
        <v>22.55893</v>
      </c>
      <c r="I163" s="256">
        <f t="shared" si="8"/>
        <v>99.999689702557731</v>
      </c>
    </row>
    <row r="164" spans="1:12" ht="51" x14ac:dyDescent="0.2">
      <c r="A164" s="206" t="s">
        <v>144</v>
      </c>
      <c r="B164" s="5">
        <v>782</v>
      </c>
      <c r="C164" s="1" t="s">
        <v>97</v>
      </c>
      <c r="D164" s="6">
        <v>6</v>
      </c>
      <c r="E164" s="1" t="s">
        <v>214</v>
      </c>
      <c r="F164" s="1"/>
      <c r="G164" s="2">
        <f>+G165</f>
        <v>431.2</v>
      </c>
      <c r="H164" s="2">
        <f>+H165</f>
        <v>431.2</v>
      </c>
      <c r="I164" s="256">
        <f t="shared" si="8"/>
        <v>100</v>
      </c>
    </row>
    <row r="165" spans="1:12" ht="25.5" x14ac:dyDescent="0.2">
      <c r="A165" s="206" t="s">
        <v>66</v>
      </c>
      <c r="B165" s="5">
        <v>782</v>
      </c>
      <c r="C165" s="1" t="s">
        <v>97</v>
      </c>
      <c r="D165" s="6">
        <v>6</v>
      </c>
      <c r="E165" s="1" t="s">
        <v>214</v>
      </c>
      <c r="F165" s="1" t="s">
        <v>16</v>
      </c>
      <c r="G165" s="2">
        <v>431.2</v>
      </c>
      <c r="H165" s="2">
        <v>431.2</v>
      </c>
      <c r="I165" s="256">
        <f t="shared" si="8"/>
        <v>100</v>
      </c>
    </row>
    <row r="166" spans="1:12" ht="25.5" x14ac:dyDescent="0.2">
      <c r="A166" s="206" t="s">
        <v>202</v>
      </c>
      <c r="B166" s="5">
        <v>782</v>
      </c>
      <c r="C166" s="1" t="s">
        <v>97</v>
      </c>
      <c r="D166" s="6">
        <v>6</v>
      </c>
      <c r="E166" s="17" t="s">
        <v>173</v>
      </c>
      <c r="F166" s="1"/>
      <c r="G166" s="2">
        <f>+G167</f>
        <v>15</v>
      </c>
      <c r="H166" s="2">
        <f>+H167</f>
        <v>15</v>
      </c>
      <c r="I166" s="256">
        <f t="shared" si="8"/>
        <v>100</v>
      </c>
    </row>
    <row r="167" spans="1:12" ht="25.5" x14ac:dyDescent="0.2">
      <c r="A167" s="206" t="s">
        <v>66</v>
      </c>
      <c r="B167" s="5">
        <v>782</v>
      </c>
      <c r="C167" s="1" t="s">
        <v>97</v>
      </c>
      <c r="D167" s="6">
        <v>6</v>
      </c>
      <c r="E167" s="17" t="s">
        <v>173</v>
      </c>
      <c r="F167" s="1" t="s">
        <v>16</v>
      </c>
      <c r="G167" s="2">
        <v>15</v>
      </c>
      <c r="H167" s="2">
        <v>15</v>
      </c>
      <c r="I167" s="256">
        <f t="shared" si="8"/>
        <v>100</v>
      </c>
    </row>
    <row r="168" spans="1:12" x14ac:dyDescent="0.2">
      <c r="A168" s="205" t="s">
        <v>150</v>
      </c>
      <c r="B168" s="188">
        <v>878</v>
      </c>
      <c r="C168" s="188" t="s">
        <v>6</v>
      </c>
      <c r="D168" s="188" t="s">
        <v>6</v>
      </c>
      <c r="E168" s="188" t="s">
        <v>64</v>
      </c>
      <c r="F168" s="188" t="s">
        <v>8</v>
      </c>
      <c r="G168" s="15">
        <f>+G169+G177+G183+G187</f>
        <v>33524.602070000008</v>
      </c>
      <c r="H168" s="15">
        <f>+H169+H177+H183+H187</f>
        <v>32977.915609999996</v>
      </c>
      <c r="I168" s="256">
        <f t="shared" si="8"/>
        <v>98.369297691114966</v>
      </c>
      <c r="L168" s="43"/>
    </row>
    <row r="169" spans="1:12" x14ac:dyDescent="0.2">
      <c r="A169" s="206" t="s">
        <v>73</v>
      </c>
      <c r="B169" s="1">
        <v>878</v>
      </c>
      <c r="C169" s="1" t="s">
        <v>23</v>
      </c>
      <c r="D169" s="1" t="s">
        <v>6</v>
      </c>
      <c r="E169" s="1" t="s">
        <v>64</v>
      </c>
      <c r="F169" s="1" t="s">
        <v>8</v>
      </c>
      <c r="G169" s="2">
        <f>+G170</f>
        <v>9508.9930000000004</v>
      </c>
      <c r="H169" s="2">
        <f>+H170</f>
        <v>9346.2074599999996</v>
      </c>
      <c r="I169" s="256">
        <f t="shared" si="8"/>
        <v>98.288088549439451</v>
      </c>
    </row>
    <row r="170" spans="1:12" ht="25.5" x14ac:dyDescent="0.2">
      <c r="A170" s="206" t="s">
        <v>40</v>
      </c>
      <c r="B170" s="1">
        <v>878</v>
      </c>
      <c r="C170" s="1" t="s">
        <v>23</v>
      </c>
      <c r="D170" s="1" t="s">
        <v>100</v>
      </c>
      <c r="E170" s="1" t="s">
        <v>64</v>
      </c>
      <c r="F170" s="1" t="s">
        <v>8</v>
      </c>
      <c r="G170" s="2">
        <f>+G171</f>
        <v>9508.9930000000004</v>
      </c>
      <c r="H170" s="2">
        <f>+H171</f>
        <v>9346.2074599999996</v>
      </c>
      <c r="I170" s="256">
        <f t="shared" si="8"/>
        <v>98.288088549439451</v>
      </c>
    </row>
    <row r="171" spans="1:12" x14ac:dyDescent="0.2">
      <c r="A171" s="206" t="s">
        <v>146</v>
      </c>
      <c r="B171" s="1">
        <v>878</v>
      </c>
      <c r="C171" s="1" t="s">
        <v>23</v>
      </c>
      <c r="D171" s="1" t="s">
        <v>100</v>
      </c>
      <c r="E171" s="1" t="s">
        <v>70</v>
      </c>
      <c r="F171" s="1" t="s">
        <v>8</v>
      </c>
      <c r="G171" s="2">
        <f>+G172+G175+G176+G174</f>
        <v>9508.9930000000004</v>
      </c>
      <c r="H171" s="2">
        <f>+H172+H175+H176+H174</f>
        <v>9346.2074599999996</v>
      </c>
      <c r="I171" s="256">
        <f t="shared" si="8"/>
        <v>98.288088549439451</v>
      </c>
    </row>
    <row r="172" spans="1:12" x14ac:dyDescent="0.2">
      <c r="A172" s="206" t="s">
        <v>146</v>
      </c>
      <c r="B172" s="1">
        <v>878</v>
      </c>
      <c r="C172" s="1" t="s">
        <v>23</v>
      </c>
      <c r="D172" s="1" t="s">
        <v>100</v>
      </c>
      <c r="E172" s="1" t="s">
        <v>71</v>
      </c>
      <c r="F172" s="1" t="s">
        <v>8</v>
      </c>
      <c r="G172" s="2">
        <f>+G173</f>
        <v>8240.1139999999996</v>
      </c>
      <c r="H172" s="2">
        <f>+H173</f>
        <v>8077.3310000000001</v>
      </c>
      <c r="I172" s="256">
        <f t="shared" si="8"/>
        <v>98.024505486210515</v>
      </c>
    </row>
    <row r="173" spans="1:12" ht="51" x14ac:dyDescent="0.2">
      <c r="A173" s="206" t="s">
        <v>21</v>
      </c>
      <c r="B173" s="1">
        <v>878</v>
      </c>
      <c r="C173" s="1" t="s">
        <v>23</v>
      </c>
      <c r="D173" s="1" t="s">
        <v>100</v>
      </c>
      <c r="E173" s="1" t="s">
        <v>71</v>
      </c>
      <c r="F173" s="1">
        <v>100</v>
      </c>
      <c r="G173" s="2">
        <v>8240.1139999999996</v>
      </c>
      <c r="H173" s="2">
        <f>6224.367+1852.964</f>
        <v>8077.3310000000001</v>
      </c>
      <c r="I173" s="256">
        <f t="shared" si="8"/>
        <v>98.024505486210515</v>
      </c>
    </row>
    <row r="174" spans="1:12" ht="51" x14ac:dyDescent="0.2">
      <c r="A174" s="206" t="s">
        <v>21</v>
      </c>
      <c r="B174" s="1">
        <v>878</v>
      </c>
      <c r="C174" s="1" t="s">
        <v>23</v>
      </c>
      <c r="D174" s="1" t="s">
        <v>100</v>
      </c>
      <c r="E174" s="1" t="s">
        <v>453</v>
      </c>
      <c r="F174" s="1">
        <v>100</v>
      </c>
      <c r="G174" s="2">
        <v>33.700000000000003</v>
      </c>
      <c r="H174" s="2">
        <v>33.700000000000003</v>
      </c>
      <c r="I174" s="256">
        <f t="shared" si="8"/>
        <v>100</v>
      </c>
    </row>
    <row r="175" spans="1:12" ht="25.5" x14ac:dyDescent="0.2">
      <c r="A175" s="206" t="s">
        <v>66</v>
      </c>
      <c r="B175" s="1">
        <v>878</v>
      </c>
      <c r="C175" s="1" t="s">
        <v>23</v>
      </c>
      <c r="D175" s="1" t="s">
        <v>100</v>
      </c>
      <c r="E175" s="1" t="s">
        <v>72</v>
      </c>
      <c r="F175" s="1" t="s">
        <v>16</v>
      </c>
      <c r="G175" s="2">
        <f>290.807+971.243-33.7</f>
        <v>1228.3500000000001</v>
      </c>
      <c r="H175" s="2">
        <f>513.51317+714.83429</f>
        <v>1228.34746</v>
      </c>
      <c r="I175" s="256">
        <f t="shared" si="8"/>
        <v>99.999793218545179</v>
      </c>
    </row>
    <row r="176" spans="1:12" x14ac:dyDescent="0.2">
      <c r="A176" s="206" t="s">
        <v>24</v>
      </c>
      <c r="B176" s="1">
        <v>878</v>
      </c>
      <c r="C176" s="1" t="s">
        <v>23</v>
      </c>
      <c r="D176" s="1" t="s">
        <v>100</v>
      </c>
      <c r="E176" s="1" t="s">
        <v>72</v>
      </c>
      <c r="F176" s="1" t="s">
        <v>25</v>
      </c>
      <c r="G176" s="2">
        <v>6.8289999999999997</v>
      </c>
      <c r="H176" s="2">
        <f>5.435+1.394</f>
        <v>6.8289999999999997</v>
      </c>
      <c r="I176" s="256">
        <f t="shared" si="8"/>
        <v>100</v>
      </c>
    </row>
    <row r="177" spans="1:9" x14ac:dyDescent="0.2">
      <c r="A177" s="206" t="s">
        <v>83</v>
      </c>
      <c r="B177" s="1">
        <v>878</v>
      </c>
      <c r="C177" s="1" t="s">
        <v>12</v>
      </c>
      <c r="D177" s="1" t="s">
        <v>6</v>
      </c>
      <c r="E177" s="1" t="s">
        <v>64</v>
      </c>
      <c r="F177" s="1" t="s">
        <v>8</v>
      </c>
      <c r="G177" s="2">
        <f t="shared" ref="G177:H181" si="9">+G178</f>
        <v>879.6</v>
      </c>
      <c r="H177" s="2">
        <f t="shared" si="9"/>
        <v>879.6</v>
      </c>
      <c r="I177" s="256">
        <f t="shared" si="8"/>
        <v>100</v>
      </c>
    </row>
    <row r="178" spans="1:9" x14ac:dyDescent="0.2">
      <c r="A178" s="206" t="s">
        <v>50</v>
      </c>
      <c r="B178" s="1">
        <v>878</v>
      </c>
      <c r="C178" s="1" t="s">
        <v>12</v>
      </c>
      <c r="D178" s="1" t="s">
        <v>98</v>
      </c>
      <c r="E178" s="1" t="s">
        <v>64</v>
      </c>
      <c r="F178" s="1" t="s">
        <v>8</v>
      </c>
      <c r="G178" s="2">
        <f t="shared" si="9"/>
        <v>879.6</v>
      </c>
      <c r="H178" s="2">
        <f t="shared" si="9"/>
        <v>879.6</v>
      </c>
      <c r="I178" s="256">
        <f t="shared" si="8"/>
        <v>100</v>
      </c>
    </row>
    <row r="179" spans="1:9" x14ac:dyDescent="0.2">
      <c r="A179" s="206" t="s">
        <v>50</v>
      </c>
      <c r="B179" s="1">
        <v>878</v>
      </c>
      <c r="C179" s="1" t="s">
        <v>12</v>
      </c>
      <c r="D179" s="1" t="s">
        <v>98</v>
      </c>
      <c r="E179" s="1" t="s">
        <v>74</v>
      </c>
      <c r="F179" s="1" t="s">
        <v>8</v>
      </c>
      <c r="G179" s="2">
        <f t="shared" si="9"/>
        <v>879.6</v>
      </c>
      <c r="H179" s="2">
        <f t="shared" si="9"/>
        <v>879.6</v>
      </c>
      <c r="I179" s="256">
        <f t="shared" si="8"/>
        <v>100</v>
      </c>
    </row>
    <row r="180" spans="1:9" x14ac:dyDescent="0.2">
      <c r="A180" s="206" t="s">
        <v>50</v>
      </c>
      <c r="B180" s="1">
        <v>878</v>
      </c>
      <c r="C180" s="1" t="s">
        <v>12</v>
      </c>
      <c r="D180" s="1" t="s">
        <v>98</v>
      </c>
      <c r="E180" s="1" t="s">
        <v>74</v>
      </c>
      <c r="F180" s="1" t="s">
        <v>8</v>
      </c>
      <c r="G180" s="2">
        <f t="shared" si="9"/>
        <v>879.6</v>
      </c>
      <c r="H180" s="2">
        <f t="shared" si="9"/>
        <v>879.6</v>
      </c>
      <c r="I180" s="256">
        <f t="shared" si="8"/>
        <v>100</v>
      </c>
    </row>
    <row r="181" spans="1:9" ht="25.5" x14ac:dyDescent="0.2">
      <c r="A181" s="206" t="s">
        <v>84</v>
      </c>
      <c r="B181" s="1">
        <v>878</v>
      </c>
      <c r="C181" s="1" t="s">
        <v>12</v>
      </c>
      <c r="D181" s="1" t="s">
        <v>98</v>
      </c>
      <c r="E181" s="1" t="s">
        <v>209</v>
      </c>
      <c r="F181" s="1" t="s">
        <v>8</v>
      </c>
      <c r="G181" s="2">
        <f t="shared" si="9"/>
        <v>879.6</v>
      </c>
      <c r="H181" s="2">
        <f t="shared" si="9"/>
        <v>879.6</v>
      </c>
      <c r="I181" s="256">
        <f t="shared" si="8"/>
        <v>100</v>
      </c>
    </row>
    <row r="182" spans="1:9" x14ac:dyDescent="0.2">
      <c r="A182" s="206" t="s">
        <v>17</v>
      </c>
      <c r="B182" s="1">
        <v>878</v>
      </c>
      <c r="C182" s="1" t="s">
        <v>12</v>
      </c>
      <c r="D182" s="1" t="s">
        <v>98</v>
      </c>
      <c r="E182" s="1" t="s">
        <v>209</v>
      </c>
      <c r="F182" s="1" t="s">
        <v>18</v>
      </c>
      <c r="G182" s="2">
        <v>879.6</v>
      </c>
      <c r="H182" s="2">
        <v>879.6</v>
      </c>
      <c r="I182" s="256">
        <f t="shared" si="8"/>
        <v>100</v>
      </c>
    </row>
    <row r="183" spans="1:9" ht="25.5" hidden="1" x14ac:dyDescent="0.2">
      <c r="A183" s="206" t="s">
        <v>375</v>
      </c>
      <c r="B183" s="1">
        <v>878</v>
      </c>
      <c r="C183" s="1" t="s">
        <v>101</v>
      </c>
      <c r="D183" s="1" t="s">
        <v>6</v>
      </c>
      <c r="E183" s="1" t="s">
        <v>64</v>
      </c>
      <c r="F183" s="1" t="s">
        <v>8</v>
      </c>
      <c r="G183" s="2">
        <f t="shared" ref="G183:H185" si="10">+G184</f>
        <v>0</v>
      </c>
      <c r="H183" s="2">
        <f t="shared" si="10"/>
        <v>0</v>
      </c>
      <c r="I183" s="256" t="e">
        <f t="shared" si="8"/>
        <v>#DIV/0!</v>
      </c>
    </row>
    <row r="184" spans="1:9" ht="25.5" hidden="1" x14ac:dyDescent="0.2">
      <c r="A184" s="206" t="s">
        <v>454</v>
      </c>
      <c r="B184" s="1">
        <v>878</v>
      </c>
      <c r="C184" s="1" t="s">
        <v>101</v>
      </c>
      <c r="D184" s="1" t="s">
        <v>23</v>
      </c>
      <c r="E184" s="1" t="s">
        <v>64</v>
      </c>
      <c r="F184" s="1" t="s">
        <v>8</v>
      </c>
      <c r="G184" s="2">
        <f t="shared" si="10"/>
        <v>0</v>
      </c>
      <c r="H184" s="2">
        <f t="shared" si="10"/>
        <v>0</v>
      </c>
      <c r="I184" s="256" t="e">
        <f t="shared" si="8"/>
        <v>#DIV/0!</v>
      </c>
    </row>
    <row r="185" spans="1:9" hidden="1" x14ac:dyDescent="0.2">
      <c r="A185" s="206" t="s">
        <v>455</v>
      </c>
      <c r="B185" s="1">
        <v>878</v>
      </c>
      <c r="C185" s="1" t="s">
        <v>101</v>
      </c>
      <c r="D185" s="1" t="s">
        <v>23</v>
      </c>
      <c r="E185" s="1" t="s">
        <v>456</v>
      </c>
      <c r="F185" s="1" t="s">
        <v>8</v>
      </c>
      <c r="G185" s="2">
        <f t="shared" si="10"/>
        <v>0</v>
      </c>
      <c r="H185" s="2">
        <f t="shared" si="10"/>
        <v>0</v>
      </c>
      <c r="I185" s="256" t="e">
        <f t="shared" si="8"/>
        <v>#DIV/0!</v>
      </c>
    </row>
    <row r="186" spans="1:9" hidden="1" x14ac:dyDescent="0.2">
      <c r="A186" s="206" t="s">
        <v>457</v>
      </c>
      <c r="B186" s="1">
        <v>878</v>
      </c>
      <c r="C186" s="1" t="s">
        <v>101</v>
      </c>
      <c r="D186" s="1" t="s">
        <v>23</v>
      </c>
      <c r="E186" s="1" t="s">
        <v>456</v>
      </c>
      <c r="F186" s="1" t="s">
        <v>392</v>
      </c>
      <c r="G186" s="2">
        <v>0</v>
      </c>
      <c r="H186" s="2">
        <v>0</v>
      </c>
      <c r="I186" s="256" t="e">
        <f t="shared" si="8"/>
        <v>#DIV/0!</v>
      </c>
    </row>
    <row r="187" spans="1:9" ht="38.25" x14ac:dyDescent="0.2">
      <c r="A187" s="206" t="s">
        <v>76</v>
      </c>
      <c r="B187" s="1">
        <v>878</v>
      </c>
      <c r="C187" s="1" t="s">
        <v>104</v>
      </c>
      <c r="D187" s="1"/>
      <c r="E187" s="1"/>
      <c r="F187" s="1"/>
      <c r="G187" s="2">
        <f>+G188+G191+G193</f>
        <v>23136.009070000004</v>
      </c>
      <c r="H187" s="2">
        <f>+H188+H191+H193</f>
        <v>22752.10815</v>
      </c>
      <c r="I187" s="256">
        <f t="shared" si="8"/>
        <v>98.340677863504993</v>
      </c>
    </row>
    <row r="188" spans="1:9" ht="25.5" x14ac:dyDescent="0.2">
      <c r="A188" s="206" t="s">
        <v>51</v>
      </c>
      <c r="B188" s="1">
        <v>878</v>
      </c>
      <c r="C188" s="1" t="s">
        <v>104</v>
      </c>
      <c r="D188" s="3" t="s">
        <v>23</v>
      </c>
      <c r="E188" s="1" t="s">
        <v>106</v>
      </c>
      <c r="F188" s="1"/>
      <c r="G188" s="2">
        <f>+G189</f>
        <v>21864.74</v>
      </c>
      <c r="H188" s="2">
        <f>+H189</f>
        <v>21864.739079999999</v>
      </c>
      <c r="I188" s="256">
        <f t="shared" si="8"/>
        <v>99.999995792312177</v>
      </c>
    </row>
    <row r="189" spans="1:9" x14ac:dyDescent="0.2">
      <c r="A189" s="206" t="s">
        <v>52</v>
      </c>
      <c r="B189" s="1">
        <v>878</v>
      </c>
      <c r="C189" s="1" t="s">
        <v>104</v>
      </c>
      <c r="D189" s="3" t="s">
        <v>23</v>
      </c>
      <c r="E189" s="1" t="s">
        <v>106</v>
      </c>
      <c r="F189" s="1"/>
      <c r="G189" s="2">
        <f>+G190</f>
        <v>21864.74</v>
      </c>
      <c r="H189" s="2">
        <f>+H190</f>
        <v>21864.739079999999</v>
      </c>
      <c r="I189" s="256">
        <f t="shared" si="8"/>
        <v>99.999995792312177</v>
      </c>
    </row>
    <row r="190" spans="1:9" x14ac:dyDescent="0.2">
      <c r="A190" s="206" t="s">
        <v>17</v>
      </c>
      <c r="B190" s="1">
        <v>878</v>
      </c>
      <c r="C190" s="1" t="s">
        <v>104</v>
      </c>
      <c r="D190" s="3" t="s">
        <v>23</v>
      </c>
      <c r="E190" s="1" t="s">
        <v>106</v>
      </c>
      <c r="F190" s="1">
        <v>500</v>
      </c>
      <c r="G190" s="2">
        <v>21864.74</v>
      </c>
      <c r="H190" s="2">
        <v>21864.739079999999</v>
      </c>
      <c r="I190" s="256">
        <f t="shared" si="8"/>
        <v>99.999995792312177</v>
      </c>
    </row>
    <row r="191" spans="1:9" ht="25.5" x14ac:dyDescent="0.2">
      <c r="A191" s="223" t="s">
        <v>458</v>
      </c>
      <c r="B191" s="1">
        <v>878</v>
      </c>
      <c r="C191" s="1" t="s">
        <v>104</v>
      </c>
      <c r="D191" s="3" t="s">
        <v>12</v>
      </c>
      <c r="E191" s="1" t="s">
        <v>219</v>
      </c>
      <c r="F191" s="1"/>
      <c r="G191" s="2">
        <f>+G192</f>
        <v>383.9</v>
      </c>
      <c r="H191" s="2">
        <f>+H192</f>
        <v>0</v>
      </c>
      <c r="I191" s="256">
        <f t="shared" si="8"/>
        <v>0</v>
      </c>
    </row>
    <row r="192" spans="1:9" x14ac:dyDescent="0.2">
      <c r="A192" s="206" t="s">
        <v>17</v>
      </c>
      <c r="B192" s="1">
        <v>878</v>
      </c>
      <c r="C192" s="1" t="s">
        <v>104</v>
      </c>
      <c r="D192" s="3" t="s">
        <v>12</v>
      </c>
      <c r="E192" s="1" t="s">
        <v>219</v>
      </c>
      <c r="F192" s="1">
        <v>500</v>
      </c>
      <c r="G192" s="2">
        <v>383.9</v>
      </c>
      <c r="H192" s="2">
        <v>0</v>
      </c>
      <c r="I192" s="256">
        <f t="shared" si="8"/>
        <v>0</v>
      </c>
    </row>
    <row r="193" spans="1:12" x14ac:dyDescent="0.2">
      <c r="A193" s="206" t="s">
        <v>53</v>
      </c>
      <c r="B193" s="1">
        <v>878</v>
      </c>
      <c r="C193" s="1" t="s">
        <v>104</v>
      </c>
      <c r="D193" s="1" t="s">
        <v>98</v>
      </c>
      <c r="E193" s="1" t="s">
        <v>64</v>
      </c>
      <c r="F193" s="1" t="s">
        <v>8</v>
      </c>
      <c r="G193" s="2">
        <f>+G194+G196</f>
        <v>887.36906999999997</v>
      </c>
      <c r="H193" s="2">
        <f>+H194+H196</f>
        <v>887.36906999999997</v>
      </c>
      <c r="I193" s="256">
        <f t="shared" si="8"/>
        <v>100</v>
      </c>
    </row>
    <row r="194" spans="1:12" x14ac:dyDescent="0.2">
      <c r="A194" s="206" t="s">
        <v>147</v>
      </c>
      <c r="B194" s="1">
        <v>878</v>
      </c>
      <c r="C194" s="1" t="s">
        <v>104</v>
      </c>
      <c r="D194" s="1" t="s">
        <v>98</v>
      </c>
      <c r="E194" s="1" t="s">
        <v>80</v>
      </c>
      <c r="F194" s="1"/>
      <c r="G194" s="2">
        <f>+G195</f>
        <v>6</v>
      </c>
      <c r="H194" s="2">
        <f>+H195</f>
        <v>6</v>
      </c>
      <c r="I194" s="256">
        <f t="shared" si="8"/>
        <v>100</v>
      </c>
    </row>
    <row r="195" spans="1:12" x14ac:dyDescent="0.2">
      <c r="A195" s="206" t="s">
        <v>17</v>
      </c>
      <c r="B195" s="1">
        <v>878</v>
      </c>
      <c r="C195" s="1" t="s">
        <v>104</v>
      </c>
      <c r="D195" s="1" t="s">
        <v>98</v>
      </c>
      <c r="E195" s="1" t="s">
        <v>80</v>
      </c>
      <c r="F195" s="1">
        <v>500</v>
      </c>
      <c r="G195" s="2">
        <v>6</v>
      </c>
      <c r="H195" s="2">
        <v>6</v>
      </c>
      <c r="I195" s="256">
        <f t="shared" si="8"/>
        <v>100</v>
      </c>
    </row>
    <row r="196" spans="1:12" ht="63.75" x14ac:dyDescent="0.2">
      <c r="A196" s="206" t="s">
        <v>206</v>
      </c>
      <c r="B196" s="1">
        <v>878</v>
      </c>
      <c r="C196" s="1" t="s">
        <v>104</v>
      </c>
      <c r="D196" s="1" t="s">
        <v>98</v>
      </c>
      <c r="E196" s="1" t="s">
        <v>148</v>
      </c>
      <c r="F196" s="1"/>
      <c r="G196" s="2">
        <f>+G197</f>
        <v>881.36906999999997</v>
      </c>
      <c r="H196" s="2">
        <f>+H197</f>
        <v>881.36906999999997</v>
      </c>
      <c r="I196" s="256">
        <f t="shared" si="8"/>
        <v>100</v>
      </c>
    </row>
    <row r="197" spans="1:12" x14ac:dyDescent="0.2">
      <c r="A197" s="206" t="s">
        <v>17</v>
      </c>
      <c r="B197" s="1">
        <v>878</v>
      </c>
      <c r="C197" s="1" t="s">
        <v>104</v>
      </c>
      <c r="D197" s="1" t="s">
        <v>98</v>
      </c>
      <c r="E197" s="1" t="s">
        <v>183</v>
      </c>
      <c r="F197" s="1" t="s">
        <v>18</v>
      </c>
      <c r="G197" s="2">
        <v>881.36906999999997</v>
      </c>
      <c r="H197" s="2">
        <v>881.36906999999997</v>
      </c>
      <c r="I197" s="256">
        <f t="shared" si="8"/>
        <v>100</v>
      </c>
    </row>
    <row r="198" spans="1:12" x14ac:dyDescent="0.2">
      <c r="A198" s="205" t="s">
        <v>149</v>
      </c>
      <c r="B198" s="188">
        <v>879</v>
      </c>
      <c r="C198" s="188"/>
      <c r="D198" s="188"/>
      <c r="E198" s="188"/>
      <c r="F198" s="188"/>
      <c r="G198" s="15">
        <f>+G199+G222+G228+G241+G256+G273+G282+G285+G290+G270+G293</f>
        <v>56927.250110000001</v>
      </c>
      <c r="H198" s="15">
        <f>+H199+H222+H228+H241+H256+H273+H282+H285+H290+H270+H293</f>
        <v>55338.636669999993</v>
      </c>
      <c r="I198" s="256">
        <f t="shared" si="8"/>
        <v>97.209397192152537</v>
      </c>
      <c r="L198" s="43"/>
    </row>
    <row r="199" spans="1:12" x14ac:dyDescent="0.2">
      <c r="A199" s="206" t="s">
        <v>73</v>
      </c>
      <c r="B199" s="1">
        <v>879</v>
      </c>
      <c r="C199" s="1" t="s">
        <v>23</v>
      </c>
      <c r="D199" s="3"/>
      <c r="E199" s="1"/>
      <c r="F199" s="1"/>
      <c r="G199" s="2">
        <f>+G200+G203++G215+G210+G212</f>
        <v>21323.946110000001</v>
      </c>
      <c r="H199" s="2">
        <f>+H200+H203++H215+H210+H212</f>
        <v>20021.533809999997</v>
      </c>
      <c r="I199" s="256">
        <f t="shared" si="8"/>
        <v>93.892254776477657</v>
      </c>
    </row>
    <row r="200" spans="1:12" ht="25.5" x14ac:dyDescent="0.2">
      <c r="A200" s="206" t="s">
        <v>54</v>
      </c>
      <c r="B200" s="1">
        <v>879</v>
      </c>
      <c r="C200" s="1" t="s">
        <v>23</v>
      </c>
      <c r="D200" s="3" t="s">
        <v>12</v>
      </c>
      <c r="E200" s="1" t="s">
        <v>153</v>
      </c>
      <c r="F200" s="1"/>
      <c r="G200" s="2">
        <f>+G201</f>
        <v>1471.8009999999999</v>
      </c>
      <c r="H200" s="2">
        <f>+H201</f>
        <v>1443.2600000000002</v>
      </c>
      <c r="I200" s="256">
        <f t="shared" si="8"/>
        <v>98.060811210211185</v>
      </c>
    </row>
    <row r="201" spans="1:12" x14ac:dyDescent="0.2">
      <c r="A201" s="206" t="s">
        <v>152</v>
      </c>
      <c r="B201" s="1">
        <v>879</v>
      </c>
      <c r="C201" s="1" t="s">
        <v>23</v>
      </c>
      <c r="D201" s="3" t="s">
        <v>12</v>
      </c>
      <c r="E201" s="1" t="s">
        <v>153</v>
      </c>
      <c r="F201" s="1"/>
      <c r="G201" s="2">
        <f>+G202</f>
        <v>1471.8009999999999</v>
      </c>
      <c r="H201" s="2">
        <f>+H202</f>
        <v>1443.2600000000002</v>
      </c>
      <c r="I201" s="256">
        <f t="shared" si="8"/>
        <v>98.060811210211185</v>
      </c>
    </row>
    <row r="202" spans="1:12" ht="51" x14ac:dyDescent="0.2">
      <c r="A202" s="206" t="s">
        <v>21</v>
      </c>
      <c r="B202" s="1">
        <v>879</v>
      </c>
      <c r="C202" s="1" t="s">
        <v>23</v>
      </c>
      <c r="D202" s="3" t="s">
        <v>12</v>
      </c>
      <c r="E202" s="1" t="s">
        <v>153</v>
      </c>
      <c r="F202" s="1">
        <v>100</v>
      </c>
      <c r="G202" s="2">
        <v>1471.8009999999999</v>
      </c>
      <c r="H202" s="2">
        <f>1106.237+337.023</f>
        <v>1443.2600000000002</v>
      </c>
      <c r="I202" s="256">
        <f t="shared" si="8"/>
        <v>98.060811210211185</v>
      </c>
    </row>
    <row r="203" spans="1:12" ht="38.25" x14ac:dyDescent="0.2">
      <c r="A203" s="206" t="s">
        <v>55</v>
      </c>
      <c r="B203" s="1">
        <v>879</v>
      </c>
      <c r="C203" s="1" t="s">
        <v>23</v>
      </c>
      <c r="D203" s="1" t="s">
        <v>19</v>
      </c>
      <c r="E203" s="1" t="s">
        <v>64</v>
      </c>
      <c r="F203" s="1" t="s">
        <v>8</v>
      </c>
      <c r="G203" s="2">
        <f>+G204</f>
        <v>18136.089110000001</v>
      </c>
      <c r="H203" s="2">
        <f>+H204</f>
        <v>16862.217809999998</v>
      </c>
      <c r="I203" s="256">
        <f t="shared" ref="I203:I266" si="11">+H203/G203*100</f>
        <v>92.976041900358723</v>
      </c>
    </row>
    <row r="204" spans="1:12" x14ac:dyDescent="0.2">
      <c r="A204" s="206" t="s">
        <v>156</v>
      </c>
      <c r="B204" s="1">
        <v>879</v>
      </c>
      <c r="C204" s="1" t="s">
        <v>23</v>
      </c>
      <c r="D204" s="1" t="s">
        <v>19</v>
      </c>
      <c r="E204" s="1" t="s">
        <v>70</v>
      </c>
      <c r="F204" s="1" t="s">
        <v>8</v>
      </c>
      <c r="G204" s="2">
        <f>+G206+G207+G208+G209</f>
        <v>18136.089110000001</v>
      </c>
      <c r="H204" s="2">
        <f>+H206+H207+H208+H209</f>
        <v>16862.217809999998</v>
      </c>
      <c r="I204" s="256">
        <f t="shared" si="11"/>
        <v>92.976041900358723</v>
      </c>
    </row>
    <row r="205" spans="1:12" x14ac:dyDescent="0.2">
      <c r="A205" s="206" t="s">
        <v>156</v>
      </c>
      <c r="B205" s="1">
        <v>879</v>
      </c>
      <c r="C205" s="1" t="s">
        <v>23</v>
      </c>
      <c r="D205" s="1" t="s">
        <v>19</v>
      </c>
      <c r="E205" s="1" t="s">
        <v>155</v>
      </c>
      <c r="F205" s="1" t="s">
        <v>8</v>
      </c>
      <c r="G205" s="2">
        <f>+G206</f>
        <v>15855.16611</v>
      </c>
      <c r="H205" s="2">
        <f>+H206</f>
        <v>14581.318729999999</v>
      </c>
      <c r="I205" s="256">
        <f t="shared" si="11"/>
        <v>91.965726683894061</v>
      </c>
    </row>
    <row r="206" spans="1:12" ht="51" x14ac:dyDescent="0.2">
      <c r="A206" s="206" t="s">
        <v>21</v>
      </c>
      <c r="B206" s="1">
        <v>879</v>
      </c>
      <c r="C206" s="1" t="s">
        <v>23</v>
      </c>
      <c r="D206" s="1" t="s">
        <v>19</v>
      </c>
      <c r="E206" s="1" t="s">
        <v>71</v>
      </c>
      <c r="F206" s="1">
        <v>100</v>
      </c>
      <c r="G206" s="2">
        <v>15855.16611</v>
      </c>
      <c r="H206" s="2">
        <f>11249.94962+3331.36911</f>
        <v>14581.318729999999</v>
      </c>
      <c r="I206" s="256">
        <f t="shared" si="11"/>
        <v>91.965726683894061</v>
      </c>
    </row>
    <row r="207" spans="1:12" ht="51" x14ac:dyDescent="0.2">
      <c r="A207" s="206" t="s">
        <v>21</v>
      </c>
      <c r="B207" s="1">
        <v>879</v>
      </c>
      <c r="C207" s="1" t="s">
        <v>23</v>
      </c>
      <c r="D207" s="1" t="s">
        <v>19</v>
      </c>
      <c r="E207" s="1" t="s">
        <v>72</v>
      </c>
      <c r="F207" s="1" t="s">
        <v>22</v>
      </c>
      <c r="G207" s="2">
        <v>0</v>
      </c>
      <c r="H207" s="2">
        <v>0</v>
      </c>
      <c r="I207" s="256" t="e">
        <f t="shared" si="11"/>
        <v>#DIV/0!</v>
      </c>
    </row>
    <row r="208" spans="1:12" ht="25.5" x14ac:dyDescent="0.2">
      <c r="A208" s="206" t="s">
        <v>66</v>
      </c>
      <c r="B208" s="1">
        <v>879</v>
      </c>
      <c r="C208" s="1" t="s">
        <v>23</v>
      </c>
      <c r="D208" s="1" t="s">
        <v>19</v>
      </c>
      <c r="E208" s="1" t="s">
        <v>72</v>
      </c>
      <c r="F208" s="1" t="s">
        <v>16</v>
      </c>
      <c r="G208" s="2">
        <f>496.326+1417.995</f>
        <v>1914.3209999999999</v>
      </c>
      <c r="H208" s="2">
        <f>493.86802+1420.42922</f>
        <v>1914.2972399999999</v>
      </c>
      <c r="I208" s="256">
        <f t="shared" si="11"/>
        <v>99.998758828848452</v>
      </c>
    </row>
    <row r="209" spans="1:9" x14ac:dyDescent="0.2">
      <c r="A209" s="206" t="s">
        <v>24</v>
      </c>
      <c r="B209" s="1">
        <v>879</v>
      </c>
      <c r="C209" s="1" t="s">
        <v>23</v>
      </c>
      <c r="D209" s="1" t="s">
        <v>19</v>
      </c>
      <c r="E209" s="1" t="s">
        <v>72</v>
      </c>
      <c r="F209" s="1" t="s">
        <v>25</v>
      </c>
      <c r="G209" s="2">
        <v>366.60199999999998</v>
      </c>
      <c r="H209" s="2">
        <f>179.403+5.585+181.61384</f>
        <v>366.60184000000004</v>
      </c>
      <c r="I209" s="256">
        <f t="shared" si="11"/>
        <v>99.999956355939162</v>
      </c>
    </row>
    <row r="210" spans="1:9" x14ac:dyDescent="0.2">
      <c r="A210" s="207" t="s">
        <v>199</v>
      </c>
      <c r="B210" s="1">
        <v>879</v>
      </c>
      <c r="C210" s="1" t="s">
        <v>23</v>
      </c>
      <c r="D210" s="1" t="s">
        <v>103</v>
      </c>
      <c r="E210" s="1"/>
      <c r="F210" s="1"/>
      <c r="G210" s="2">
        <f>+G211</f>
        <v>22.4</v>
      </c>
      <c r="H210" s="2">
        <f>+H211</f>
        <v>22.4</v>
      </c>
      <c r="I210" s="256">
        <f t="shared" si="11"/>
        <v>100</v>
      </c>
    </row>
    <row r="211" spans="1:9" ht="25.5" x14ac:dyDescent="0.2">
      <c r="A211" s="207" t="s">
        <v>66</v>
      </c>
      <c r="B211" s="1">
        <v>879</v>
      </c>
      <c r="C211" s="1" t="s">
        <v>23</v>
      </c>
      <c r="D211" s="1" t="s">
        <v>103</v>
      </c>
      <c r="E211" s="1" t="s">
        <v>72</v>
      </c>
      <c r="F211" s="1">
        <v>200</v>
      </c>
      <c r="G211" s="2">
        <v>22.4</v>
      </c>
      <c r="H211" s="2">
        <v>22.4</v>
      </c>
      <c r="I211" s="256">
        <f t="shared" si="11"/>
        <v>100</v>
      </c>
    </row>
    <row r="212" spans="1:9" x14ac:dyDescent="0.2">
      <c r="A212" s="207" t="s">
        <v>459</v>
      </c>
      <c r="B212" s="1">
        <v>879</v>
      </c>
      <c r="C212" s="1" t="s">
        <v>23</v>
      </c>
      <c r="D212" s="3" t="s">
        <v>10</v>
      </c>
      <c r="E212" s="1"/>
      <c r="F212" s="1"/>
      <c r="G212" s="2">
        <f>+G213</f>
        <v>1137.556</v>
      </c>
      <c r="H212" s="2">
        <f>+H213</f>
        <v>1137.556</v>
      </c>
      <c r="I212" s="256">
        <f t="shared" si="11"/>
        <v>100</v>
      </c>
    </row>
    <row r="213" spans="1:9" x14ac:dyDescent="0.2">
      <c r="A213" s="207" t="s">
        <v>460</v>
      </c>
      <c r="B213" s="1">
        <v>879</v>
      </c>
      <c r="C213" s="1" t="s">
        <v>23</v>
      </c>
      <c r="D213" s="3" t="s">
        <v>10</v>
      </c>
      <c r="E213" s="1"/>
      <c r="F213" s="1"/>
      <c r="G213" s="2">
        <f>+G214</f>
        <v>1137.556</v>
      </c>
      <c r="H213" s="2">
        <f>+H214</f>
        <v>1137.556</v>
      </c>
      <c r="I213" s="256">
        <f t="shared" si="11"/>
        <v>100</v>
      </c>
    </row>
    <row r="214" spans="1:9" x14ac:dyDescent="0.2">
      <c r="A214" s="207" t="s">
        <v>461</v>
      </c>
      <c r="B214" s="1">
        <v>879</v>
      </c>
      <c r="C214" s="1" t="s">
        <v>23</v>
      </c>
      <c r="D214" s="3" t="s">
        <v>10</v>
      </c>
      <c r="E214" s="1" t="s">
        <v>217</v>
      </c>
      <c r="F214" s="1">
        <v>800</v>
      </c>
      <c r="G214" s="2">
        <f>549.556+588</f>
        <v>1137.556</v>
      </c>
      <c r="H214" s="2">
        <f>549.556+588</f>
        <v>1137.556</v>
      </c>
      <c r="I214" s="256">
        <f t="shared" si="11"/>
        <v>100</v>
      </c>
    </row>
    <row r="215" spans="1:9" x14ac:dyDescent="0.2">
      <c r="A215" s="206" t="s">
        <v>56</v>
      </c>
      <c r="B215" s="1">
        <v>879</v>
      </c>
      <c r="C215" s="1" t="s">
        <v>23</v>
      </c>
      <c r="D215" s="1" t="s">
        <v>101</v>
      </c>
      <c r="E215" s="1" t="s">
        <v>64</v>
      </c>
      <c r="F215" s="1" t="s">
        <v>8</v>
      </c>
      <c r="G215" s="2">
        <f>+G216</f>
        <v>556.1</v>
      </c>
      <c r="H215" s="2">
        <f>+H216</f>
        <v>556.1</v>
      </c>
      <c r="I215" s="256">
        <f t="shared" si="11"/>
        <v>100</v>
      </c>
    </row>
    <row r="216" spans="1:9" x14ac:dyDescent="0.2">
      <c r="A216" s="206" t="s">
        <v>56</v>
      </c>
      <c r="B216" s="1">
        <v>879</v>
      </c>
      <c r="C216" s="1" t="s">
        <v>23</v>
      </c>
      <c r="D216" s="1" t="s">
        <v>101</v>
      </c>
      <c r="E216" s="1" t="s">
        <v>77</v>
      </c>
      <c r="F216" s="1" t="s">
        <v>8</v>
      </c>
      <c r="G216" s="2">
        <f>+G217+G219</f>
        <v>556.1</v>
      </c>
      <c r="H216" s="2">
        <f>+H217+H219</f>
        <v>556.1</v>
      </c>
      <c r="I216" s="256">
        <f t="shared" si="11"/>
        <v>100</v>
      </c>
    </row>
    <row r="217" spans="1:9" ht="38.25" x14ac:dyDescent="0.2">
      <c r="A217" s="206" t="s">
        <v>79</v>
      </c>
      <c r="B217" s="1">
        <v>879</v>
      </c>
      <c r="C217" s="1" t="s">
        <v>23</v>
      </c>
      <c r="D217" s="1" t="s">
        <v>101</v>
      </c>
      <c r="E217" s="1" t="s">
        <v>80</v>
      </c>
      <c r="F217" s="1" t="s">
        <v>8</v>
      </c>
      <c r="G217" s="2">
        <f>+G218</f>
        <v>1</v>
      </c>
      <c r="H217" s="2">
        <f>+H218</f>
        <v>1</v>
      </c>
      <c r="I217" s="256">
        <f t="shared" si="11"/>
        <v>100</v>
      </c>
    </row>
    <row r="218" spans="1:9" ht="25.5" x14ac:dyDescent="0.2">
      <c r="A218" s="206" t="s">
        <v>66</v>
      </c>
      <c r="B218" s="1">
        <v>879</v>
      </c>
      <c r="C218" s="1" t="s">
        <v>23</v>
      </c>
      <c r="D218" s="1">
        <v>13</v>
      </c>
      <c r="E218" s="1" t="s">
        <v>80</v>
      </c>
      <c r="F218" s="1" t="s">
        <v>16</v>
      </c>
      <c r="G218" s="2">
        <v>1</v>
      </c>
      <c r="H218" s="2">
        <v>1</v>
      </c>
      <c r="I218" s="256">
        <f t="shared" si="11"/>
        <v>100</v>
      </c>
    </row>
    <row r="219" spans="1:9" ht="38.25" x14ac:dyDescent="0.2">
      <c r="A219" s="206" t="s">
        <v>81</v>
      </c>
      <c r="B219" s="1">
        <v>879</v>
      </c>
      <c r="C219" s="1" t="s">
        <v>23</v>
      </c>
      <c r="D219" s="1" t="s">
        <v>101</v>
      </c>
      <c r="E219" s="1" t="s">
        <v>82</v>
      </c>
      <c r="F219" s="1" t="s">
        <v>8</v>
      </c>
      <c r="G219" s="2">
        <f>+G220+G221</f>
        <v>555.1</v>
      </c>
      <c r="H219" s="2">
        <f>+H220+H221</f>
        <v>555.1</v>
      </c>
      <c r="I219" s="256">
        <f t="shared" si="11"/>
        <v>100</v>
      </c>
    </row>
    <row r="220" spans="1:9" ht="51" x14ac:dyDescent="0.2">
      <c r="A220" s="206" t="s">
        <v>21</v>
      </c>
      <c r="B220" s="1">
        <v>879</v>
      </c>
      <c r="C220" s="1" t="s">
        <v>23</v>
      </c>
      <c r="D220" s="1" t="s">
        <v>101</v>
      </c>
      <c r="E220" s="1" t="s">
        <v>82</v>
      </c>
      <c r="F220" s="1">
        <v>100</v>
      </c>
      <c r="G220" s="2">
        <v>433.3</v>
      </c>
      <c r="H220" s="2">
        <v>433.3</v>
      </c>
      <c r="I220" s="256">
        <f t="shared" si="11"/>
        <v>100</v>
      </c>
    </row>
    <row r="221" spans="1:9" ht="25.5" x14ac:dyDescent="0.2">
      <c r="A221" s="206" t="s">
        <v>66</v>
      </c>
      <c r="B221" s="1">
        <v>879</v>
      </c>
      <c r="C221" s="1" t="s">
        <v>23</v>
      </c>
      <c r="D221" s="1" t="s">
        <v>101</v>
      </c>
      <c r="E221" s="1" t="s">
        <v>462</v>
      </c>
      <c r="F221" s="1">
        <v>200</v>
      </c>
      <c r="G221" s="2">
        <f>4+117.8</f>
        <v>121.8</v>
      </c>
      <c r="H221" s="2">
        <f>4+117.8</f>
        <v>121.8</v>
      </c>
      <c r="I221" s="256">
        <f t="shared" si="11"/>
        <v>100</v>
      </c>
    </row>
    <row r="222" spans="1:9" x14ac:dyDescent="0.2">
      <c r="A222" s="206" t="s">
        <v>83</v>
      </c>
      <c r="B222" s="1">
        <v>879</v>
      </c>
      <c r="C222" s="1" t="s">
        <v>12</v>
      </c>
      <c r="D222" s="1" t="s">
        <v>6</v>
      </c>
      <c r="E222" s="1" t="s">
        <v>64</v>
      </c>
      <c r="F222" s="1" t="s">
        <v>8</v>
      </c>
      <c r="G222" s="2">
        <f t="shared" ref="G222:H224" si="12">+G223</f>
        <v>414.2</v>
      </c>
      <c r="H222" s="2">
        <f t="shared" si="12"/>
        <v>414.2</v>
      </c>
      <c r="I222" s="256">
        <f t="shared" si="11"/>
        <v>100</v>
      </c>
    </row>
    <row r="223" spans="1:9" x14ac:dyDescent="0.2">
      <c r="A223" s="206" t="s">
        <v>50</v>
      </c>
      <c r="B223" s="1">
        <v>879</v>
      </c>
      <c r="C223" s="1" t="s">
        <v>12</v>
      </c>
      <c r="D223" s="1" t="s">
        <v>98</v>
      </c>
      <c r="E223" s="1" t="s">
        <v>64</v>
      </c>
      <c r="F223" s="1" t="s">
        <v>8</v>
      </c>
      <c r="G223" s="2">
        <f t="shared" si="12"/>
        <v>414.2</v>
      </c>
      <c r="H223" s="2">
        <f t="shared" si="12"/>
        <v>414.2</v>
      </c>
      <c r="I223" s="256">
        <f t="shared" si="11"/>
        <v>100</v>
      </c>
    </row>
    <row r="224" spans="1:9" x14ac:dyDescent="0.2">
      <c r="A224" s="206" t="s">
        <v>50</v>
      </c>
      <c r="B224" s="1">
        <v>879</v>
      </c>
      <c r="C224" s="1" t="s">
        <v>12</v>
      </c>
      <c r="D224" s="1" t="s">
        <v>98</v>
      </c>
      <c r="E224" s="1" t="s">
        <v>74</v>
      </c>
      <c r="F224" s="1" t="s">
        <v>8</v>
      </c>
      <c r="G224" s="2">
        <f t="shared" si="12"/>
        <v>414.2</v>
      </c>
      <c r="H224" s="2">
        <f t="shared" si="12"/>
        <v>414.2</v>
      </c>
      <c r="I224" s="256">
        <f t="shared" si="11"/>
        <v>100</v>
      </c>
    </row>
    <row r="225" spans="1:9" ht="25.5" x14ac:dyDescent="0.2">
      <c r="A225" s="206" t="s">
        <v>84</v>
      </c>
      <c r="B225" s="1">
        <v>879</v>
      </c>
      <c r="C225" s="1" t="s">
        <v>12</v>
      </c>
      <c r="D225" s="1" t="s">
        <v>98</v>
      </c>
      <c r="E225" s="1" t="s">
        <v>209</v>
      </c>
      <c r="F225" s="1" t="s">
        <v>8</v>
      </c>
      <c r="G225" s="2">
        <f>+G226+G227</f>
        <v>414.2</v>
      </c>
      <c r="H225" s="2">
        <f>+H226+H227</f>
        <v>414.2</v>
      </c>
      <c r="I225" s="256">
        <f t="shared" si="11"/>
        <v>100</v>
      </c>
    </row>
    <row r="226" spans="1:9" ht="51" x14ac:dyDescent="0.2">
      <c r="A226" s="206" t="s">
        <v>21</v>
      </c>
      <c r="B226" s="1">
        <v>879</v>
      </c>
      <c r="C226" s="1" t="s">
        <v>12</v>
      </c>
      <c r="D226" s="1" t="s">
        <v>98</v>
      </c>
      <c r="E226" s="1" t="s">
        <v>209</v>
      </c>
      <c r="F226" s="1">
        <v>100</v>
      </c>
      <c r="G226" s="2">
        <v>359.4</v>
      </c>
      <c r="H226" s="2">
        <v>359.4</v>
      </c>
      <c r="I226" s="256">
        <f t="shared" si="11"/>
        <v>100</v>
      </c>
    </row>
    <row r="227" spans="1:9" ht="25.5" x14ac:dyDescent="0.2">
      <c r="A227" s="206" t="s">
        <v>66</v>
      </c>
      <c r="B227" s="1">
        <v>879</v>
      </c>
      <c r="C227" s="1" t="s">
        <v>12</v>
      </c>
      <c r="D227" s="1" t="s">
        <v>98</v>
      </c>
      <c r="E227" s="1" t="s">
        <v>209</v>
      </c>
      <c r="F227" s="1">
        <v>200</v>
      </c>
      <c r="G227" s="2">
        <v>54.8</v>
      </c>
      <c r="H227" s="2">
        <v>54.8</v>
      </c>
      <c r="I227" s="256">
        <f t="shared" si="11"/>
        <v>100</v>
      </c>
    </row>
    <row r="228" spans="1:9" ht="25.5" x14ac:dyDescent="0.2">
      <c r="A228" s="206" t="s">
        <v>78</v>
      </c>
      <c r="B228" s="1">
        <v>879</v>
      </c>
      <c r="C228" s="1" t="s">
        <v>98</v>
      </c>
      <c r="D228" s="1" t="s">
        <v>6</v>
      </c>
      <c r="E228" s="1" t="s">
        <v>64</v>
      </c>
      <c r="F228" s="1" t="s">
        <v>8</v>
      </c>
      <c r="G228" s="2">
        <f>+G229+G232+G235+G237+G239</f>
        <v>1705.5000000000002</v>
      </c>
      <c r="H228" s="2">
        <f>+H229+H232+H235+H237+H239</f>
        <v>1705.4854</v>
      </c>
      <c r="I228" s="256">
        <f t="shared" si="11"/>
        <v>99.999143946056861</v>
      </c>
    </row>
    <row r="229" spans="1:9" ht="25.5" x14ac:dyDescent="0.2">
      <c r="A229" s="206" t="s">
        <v>57</v>
      </c>
      <c r="B229" s="1">
        <v>879</v>
      </c>
      <c r="C229" s="1" t="s">
        <v>98</v>
      </c>
      <c r="D229" s="1" t="s">
        <v>102</v>
      </c>
      <c r="E229" s="1" t="s">
        <v>115</v>
      </c>
      <c r="F229" s="1" t="s">
        <v>8</v>
      </c>
      <c r="G229" s="2">
        <f>+G230+G231</f>
        <v>1513.6000000000001</v>
      </c>
      <c r="H229" s="2">
        <f>+H230+H231</f>
        <v>1513.5863999999999</v>
      </c>
      <c r="I229" s="256">
        <f t="shared" si="11"/>
        <v>99.999101479915424</v>
      </c>
    </row>
    <row r="230" spans="1:9" ht="51" x14ac:dyDescent="0.2">
      <c r="A230" s="206" t="s">
        <v>21</v>
      </c>
      <c r="B230" s="1">
        <v>879</v>
      </c>
      <c r="C230" s="1" t="s">
        <v>98</v>
      </c>
      <c r="D230" s="1" t="s">
        <v>102</v>
      </c>
      <c r="E230" s="1" t="s">
        <v>154</v>
      </c>
      <c r="F230" s="1" t="s">
        <v>22</v>
      </c>
      <c r="G230" s="2">
        <v>1455.9</v>
      </c>
      <c r="H230" s="2">
        <f>1121.645+334.303</f>
        <v>1455.9479999999999</v>
      </c>
      <c r="I230" s="256">
        <f t="shared" si="11"/>
        <v>100.00329692973418</v>
      </c>
    </row>
    <row r="231" spans="1:9" ht="25.5" x14ac:dyDescent="0.2">
      <c r="A231" s="206" t="s">
        <v>66</v>
      </c>
      <c r="B231" s="1">
        <v>879</v>
      </c>
      <c r="C231" s="1" t="s">
        <v>98</v>
      </c>
      <c r="D231" s="1" t="s">
        <v>102</v>
      </c>
      <c r="E231" s="1" t="s">
        <v>154</v>
      </c>
      <c r="F231" s="1" t="s">
        <v>16</v>
      </c>
      <c r="G231" s="2">
        <v>57.7</v>
      </c>
      <c r="H231" s="2">
        <v>57.638399999999997</v>
      </c>
      <c r="I231" s="256">
        <f t="shared" si="11"/>
        <v>99.893240901213161</v>
      </c>
    </row>
    <row r="232" spans="1:9" x14ac:dyDescent="0.2">
      <c r="A232" s="206" t="s">
        <v>164</v>
      </c>
      <c r="B232" s="1">
        <v>879</v>
      </c>
      <c r="C232" s="1" t="s">
        <v>98</v>
      </c>
      <c r="D232" s="1" t="s">
        <v>102</v>
      </c>
      <c r="E232" s="1"/>
      <c r="F232" s="1"/>
      <c r="G232" s="2">
        <f>+G233+G235</f>
        <v>40</v>
      </c>
      <c r="H232" s="2">
        <f>+H233+H235</f>
        <v>40</v>
      </c>
      <c r="I232" s="256">
        <f t="shared" si="11"/>
        <v>100</v>
      </c>
    </row>
    <row r="233" spans="1:9" ht="25.5" x14ac:dyDescent="0.2">
      <c r="A233" s="24" t="s">
        <v>463</v>
      </c>
      <c r="B233" s="1">
        <v>879</v>
      </c>
      <c r="C233" s="1" t="s">
        <v>98</v>
      </c>
      <c r="D233" s="1" t="s">
        <v>102</v>
      </c>
      <c r="E233" s="1" t="s">
        <v>174</v>
      </c>
      <c r="F233" s="1"/>
      <c r="G233" s="2">
        <f>+G234</f>
        <v>40</v>
      </c>
      <c r="H233" s="2">
        <f>+H234</f>
        <v>40</v>
      </c>
      <c r="I233" s="256">
        <f t="shared" si="11"/>
        <v>100</v>
      </c>
    </row>
    <row r="234" spans="1:9" ht="25.5" x14ac:dyDescent="0.2">
      <c r="A234" s="206" t="s">
        <v>66</v>
      </c>
      <c r="B234" s="1">
        <v>879</v>
      </c>
      <c r="C234" s="1" t="s">
        <v>98</v>
      </c>
      <c r="D234" s="1" t="s">
        <v>102</v>
      </c>
      <c r="E234" s="1" t="s">
        <v>174</v>
      </c>
      <c r="F234" s="1" t="s">
        <v>16</v>
      </c>
      <c r="G234" s="2">
        <v>40</v>
      </c>
      <c r="H234" s="2">
        <v>40</v>
      </c>
      <c r="I234" s="256">
        <f t="shared" si="11"/>
        <v>100</v>
      </c>
    </row>
    <row r="235" spans="1:9" ht="24" hidden="1" x14ac:dyDescent="0.2">
      <c r="A235" s="27" t="s">
        <v>464</v>
      </c>
      <c r="B235" s="1">
        <v>879</v>
      </c>
      <c r="C235" s="1" t="s">
        <v>98</v>
      </c>
      <c r="D235" s="1" t="s">
        <v>102</v>
      </c>
      <c r="E235" s="1" t="s">
        <v>175</v>
      </c>
      <c r="F235" s="1"/>
      <c r="G235" s="2">
        <f>+G236</f>
        <v>0</v>
      </c>
      <c r="H235" s="2">
        <f>+H236</f>
        <v>0</v>
      </c>
      <c r="I235" s="256" t="e">
        <f t="shared" si="11"/>
        <v>#DIV/0!</v>
      </c>
    </row>
    <row r="236" spans="1:9" ht="25.5" hidden="1" x14ac:dyDescent="0.2">
      <c r="A236" s="206" t="s">
        <v>66</v>
      </c>
      <c r="B236" s="1">
        <v>879</v>
      </c>
      <c r="C236" s="1" t="s">
        <v>98</v>
      </c>
      <c r="D236" s="1" t="s">
        <v>102</v>
      </c>
      <c r="E236" s="1" t="s">
        <v>175</v>
      </c>
      <c r="F236" s="1">
        <v>200</v>
      </c>
      <c r="G236" s="2">
        <v>0</v>
      </c>
      <c r="H236" s="2">
        <v>0</v>
      </c>
      <c r="I236" s="256" t="e">
        <f t="shared" si="11"/>
        <v>#DIV/0!</v>
      </c>
    </row>
    <row r="237" spans="1:9" ht="25.5" x14ac:dyDescent="0.2">
      <c r="A237" s="206" t="s">
        <v>151</v>
      </c>
      <c r="B237" s="1">
        <v>879</v>
      </c>
      <c r="C237" s="1" t="s">
        <v>98</v>
      </c>
      <c r="D237" s="1" t="s">
        <v>102</v>
      </c>
      <c r="E237" s="1"/>
      <c r="F237" s="1"/>
      <c r="G237" s="2">
        <f>+G238</f>
        <v>39.900000000000006</v>
      </c>
      <c r="H237" s="2">
        <f>+H238</f>
        <v>39.9</v>
      </c>
      <c r="I237" s="256">
        <f t="shared" si="11"/>
        <v>99.999999999999972</v>
      </c>
    </row>
    <row r="238" spans="1:9" ht="25.5" x14ac:dyDescent="0.2">
      <c r="A238" s="206" t="s">
        <v>66</v>
      </c>
      <c r="B238" s="1">
        <v>879</v>
      </c>
      <c r="C238" s="1" t="s">
        <v>98</v>
      </c>
      <c r="D238" s="1" t="s">
        <v>102</v>
      </c>
      <c r="E238" s="1" t="s">
        <v>465</v>
      </c>
      <c r="F238" s="1">
        <v>200</v>
      </c>
      <c r="G238" s="2">
        <f>64.9-25</f>
        <v>39.900000000000006</v>
      </c>
      <c r="H238" s="2">
        <v>39.9</v>
      </c>
      <c r="I238" s="256">
        <f t="shared" si="11"/>
        <v>99.999999999999972</v>
      </c>
    </row>
    <row r="239" spans="1:9" ht="36" x14ac:dyDescent="0.2">
      <c r="A239" s="220" t="s">
        <v>466</v>
      </c>
      <c r="B239" s="1">
        <v>879</v>
      </c>
      <c r="C239" s="1" t="s">
        <v>98</v>
      </c>
      <c r="D239" s="1">
        <v>14</v>
      </c>
      <c r="E239" s="1" t="s">
        <v>467</v>
      </c>
      <c r="F239" s="1"/>
      <c r="G239" s="2">
        <f>+G240</f>
        <v>112</v>
      </c>
      <c r="H239" s="2">
        <f>+H240</f>
        <v>111.999</v>
      </c>
      <c r="I239" s="256">
        <f t="shared" si="11"/>
        <v>99.999107142857142</v>
      </c>
    </row>
    <row r="240" spans="1:9" ht="25.5" x14ac:dyDescent="0.2">
      <c r="A240" s="206" t="s">
        <v>66</v>
      </c>
      <c r="B240" s="1">
        <v>879</v>
      </c>
      <c r="C240" s="1" t="s">
        <v>98</v>
      </c>
      <c r="D240" s="1">
        <v>14</v>
      </c>
      <c r="E240" s="1" t="s">
        <v>467</v>
      </c>
      <c r="F240" s="1">
        <v>200</v>
      </c>
      <c r="G240" s="2">
        <v>112</v>
      </c>
      <c r="H240" s="2">
        <v>111.999</v>
      </c>
      <c r="I240" s="256">
        <f t="shared" si="11"/>
        <v>99.999107142857142</v>
      </c>
    </row>
    <row r="241" spans="1:9" x14ac:dyDescent="0.2">
      <c r="A241" s="206" t="s">
        <v>75</v>
      </c>
      <c r="B241" s="1">
        <v>879</v>
      </c>
      <c r="C241" s="1" t="s">
        <v>19</v>
      </c>
      <c r="D241" s="3" t="s">
        <v>187</v>
      </c>
      <c r="E241" s="1" t="s">
        <v>64</v>
      </c>
      <c r="F241" s="1" t="s">
        <v>8</v>
      </c>
      <c r="G241" s="2">
        <f>+G242+G247+G249</f>
        <v>10621.161</v>
      </c>
      <c r="H241" s="2">
        <f>+H242+H247+H249</f>
        <v>10540.013149999999</v>
      </c>
      <c r="I241" s="256">
        <f t="shared" si="11"/>
        <v>99.235979475313471</v>
      </c>
    </row>
    <row r="242" spans="1:9" x14ac:dyDescent="0.2">
      <c r="A242" s="206" t="s">
        <v>468</v>
      </c>
      <c r="B242" s="1">
        <v>879</v>
      </c>
      <c r="C242" s="1" t="s">
        <v>19</v>
      </c>
      <c r="D242" s="3" t="s">
        <v>103</v>
      </c>
      <c r="E242" s="1"/>
      <c r="F242" s="1"/>
      <c r="G242" s="2">
        <f>+G243+G245</f>
        <v>1501.5</v>
      </c>
      <c r="H242" s="2">
        <f>+H243+H245</f>
        <v>1501.5</v>
      </c>
      <c r="I242" s="256">
        <f t="shared" si="11"/>
        <v>100</v>
      </c>
    </row>
    <row r="243" spans="1:9" ht="38.25" x14ac:dyDescent="0.2">
      <c r="A243" s="206" t="s">
        <v>469</v>
      </c>
      <c r="B243" s="1">
        <v>879</v>
      </c>
      <c r="C243" s="1" t="s">
        <v>19</v>
      </c>
      <c r="D243" s="3" t="s">
        <v>103</v>
      </c>
      <c r="E243" s="1" t="s">
        <v>470</v>
      </c>
      <c r="F243" s="1"/>
      <c r="G243" s="2">
        <f>+G244</f>
        <v>101.5</v>
      </c>
      <c r="H243" s="2">
        <f>+H244</f>
        <v>101.5</v>
      </c>
      <c r="I243" s="256">
        <f t="shared" si="11"/>
        <v>100</v>
      </c>
    </row>
    <row r="244" spans="1:9" ht="25.5" x14ac:dyDescent="0.2">
      <c r="A244" s="206" t="s">
        <v>66</v>
      </c>
      <c r="B244" s="1">
        <v>879</v>
      </c>
      <c r="C244" s="1" t="s">
        <v>19</v>
      </c>
      <c r="D244" s="3" t="s">
        <v>103</v>
      </c>
      <c r="E244" s="1" t="s">
        <v>470</v>
      </c>
      <c r="F244" s="1">
        <v>200</v>
      </c>
      <c r="G244" s="2">
        <v>101.5</v>
      </c>
      <c r="H244" s="2">
        <v>101.5</v>
      </c>
      <c r="I244" s="256">
        <f t="shared" si="11"/>
        <v>100</v>
      </c>
    </row>
    <row r="245" spans="1:9" ht="38.25" x14ac:dyDescent="0.2">
      <c r="A245" s="23" t="s">
        <v>471</v>
      </c>
      <c r="B245" s="1">
        <v>879</v>
      </c>
      <c r="C245" s="1" t="s">
        <v>19</v>
      </c>
      <c r="D245" s="3" t="s">
        <v>103</v>
      </c>
      <c r="E245" s="1" t="s">
        <v>472</v>
      </c>
      <c r="F245" s="1"/>
      <c r="G245" s="2">
        <f>+G246</f>
        <v>1400</v>
      </c>
      <c r="H245" s="2">
        <f>+H246</f>
        <v>1400</v>
      </c>
      <c r="I245" s="256">
        <f t="shared" si="11"/>
        <v>100</v>
      </c>
    </row>
    <row r="246" spans="1:9" ht="25.5" x14ac:dyDescent="0.2">
      <c r="A246" s="206" t="s">
        <v>66</v>
      </c>
      <c r="B246" s="1">
        <v>879</v>
      </c>
      <c r="C246" s="1" t="s">
        <v>19</v>
      </c>
      <c r="D246" s="3" t="s">
        <v>103</v>
      </c>
      <c r="E246" s="1" t="s">
        <v>472</v>
      </c>
      <c r="F246" s="1">
        <v>200</v>
      </c>
      <c r="G246" s="2">
        <v>1400</v>
      </c>
      <c r="H246" s="2">
        <v>1400</v>
      </c>
      <c r="I246" s="256">
        <f t="shared" si="11"/>
        <v>100</v>
      </c>
    </row>
    <row r="247" spans="1:9" x14ac:dyDescent="0.2">
      <c r="A247" s="206" t="s">
        <v>159</v>
      </c>
      <c r="B247" s="1">
        <v>879</v>
      </c>
      <c r="C247" s="3" t="s">
        <v>19</v>
      </c>
      <c r="D247" s="3" t="s">
        <v>102</v>
      </c>
      <c r="E247" s="1" t="s">
        <v>216</v>
      </c>
      <c r="F247" s="1"/>
      <c r="G247" s="2">
        <f>+G248</f>
        <v>8725.8009999999995</v>
      </c>
      <c r="H247" s="2">
        <f>+H248</f>
        <v>8644.6681499999995</v>
      </c>
      <c r="I247" s="256">
        <f t="shared" si="11"/>
        <v>99.070195962525389</v>
      </c>
    </row>
    <row r="248" spans="1:9" ht="25.5" x14ac:dyDescent="0.2">
      <c r="A248" s="206" t="s">
        <v>66</v>
      </c>
      <c r="B248" s="1">
        <v>879</v>
      </c>
      <c r="C248" s="1" t="s">
        <v>19</v>
      </c>
      <c r="D248" s="3" t="s">
        <v>102</v>
      </c>
      <c r="E248" s="1" t="s">
        <v>216</v>
      </c>
      <c r="F248" s="1">
        <v>200</v>
      </c>
      <c r="G248" s="2">
        <v>8725.8009999999995</v>
      </c>
      <c r="H248" s="2">
        <v>8644.6681499999995</v>
      </c>
      <c r="I248" s="256">
        <f t="shared" si="11"/>
        <v>99.070195962525389</v>
      </c>
    </row>
    <row r="249" spans="1:9" x14ac:dyDescent="0.2">
      <c r="A249" s="206" t="s">
        <v>164</v>
      </c>
      <c r="B249" s="1">
        <v>879</v>
      </c>
      <c r="C249" s="1" t="s">
        <v>19</v>
      </c>
      <c r="D249" s="3" t="s">
        <v>30</v>
      </c>
      <c r="E249" s="1"/>
      <c r="F249" s="1"/>
      <c r="G249" s="2">
        <f>+G250+G252+G255</f>
        <v>393.86</v>
      </c>
      <c r="H249" s="2">
        <f>+H250+H252+H255</f>
        <v>393.84500000000003</v>
      </c>
      <c r="I249" s="256">
        <f t="shared" si="11"/>
        <v>99.996191540141169</v>
      </c>
    </row>
    <row r="250" spans="1:9" ht="25.5" x14ac:dyDescent="0.2">
      <c r="A250" s="23" t="s">
        <v>208</v>
      </c>
      <c r="B250" s="1">
        <v>879</v>
      </c>
      <c r="C250" s="1" t="s">
        <v>19</v>
      </c>
      <c r="D250" s="3" t="s">
        <v>30</v>
      </c>
      <c r="E250" s="1" t="s">
        <v>176</v>
      </c>
      <c r="F250" s="1"/>
      <c r="G250" s="2">
        <f>+G251</f>
        <v>43</v>
      </c>
      <c r="H250" s="2">
        <f>+H251</f>
        <v>43</v>
      </c>
      <c r="I250" s="256">
        <f t="shared" si="11"/>
        <v>100</v>
      </c>
    </row>
    <row r="251" spans="1:9" ht="25.5" x14ac:dyDescent="0.2">
      <c r="A251" s="206" t="s">
        <v>66</v>
      </c>
      <c r="B251" s="1">
        <v>879</v>
      </c>
      <c r="C251" s="1" t="s">
        <v>19</v>
      </c>
      <c r="D251" s="3" t="s">
        <v>30</v>
      </c>
      <c r="E251" s="1" t="s">
        <v>176</v>
      </c>
      <c r="F251" s="1">
        <v>200</v>
      </c>
      <c r="G251" s="2">
        <f>28+15</f>
        <v>43</v>
      </c>
      <c r="H251" s="2">
        <f>28+15</f>
        <v>43</v>
      </c>
      <c r="I251" s="256">
        <f t="shared" si="11"/>
        <v>100</v>
      </c>
    </row>
    <row r="252" spans="1:9" ht="38.25" x14ac:dyDescent="0.2">
      <c r="A252" s="22" t="s">
        <v>473</v>
      </c>
      <c r="B252" s="1">
        <v>879</v>
      </c>
      <c r="C252" s="1" t="s">
        <v>19</v>
      </c>
      <c r="D252" s="3" t="s">
        <v>30</v>
      </c>
      <c r="E252" s="1" t="s">
        <v>177</v>
      </c>
      <c r="F252" s="1"/>
      <c r="G252" s="2">
        <f>+G253</f>
        <v>256.06</v>
      </c>
      <c r="H252" s="2">
        <f>+H253</f>
        <v>256.06</v>
      </c>
      <c r="I252" s="256">
        <f t="shared" si="11"/>
        <v>100</v>
      </c>
    </row>
    <row r="253" spans="1:9" ht="25.5" x14ac:dyDescent="0.2">
      <c r="A253" s="206" t="s">
        <v>66</v>
      </c>
      <c r="B253" s="1">
        <v>879</v>
      </c>
      <c r="C253" s="1" t="s">
        <v>19</v>
      </c>
      <c r="D253" s="3" t="s">
        <v>30</v>
      </c>
      <c r="E253" s="1" t="s">
        <v>177</v>
      </c>
      <c r="F253" s="1">
        <v>200</v>
      </c>
      <c r="G253" s="2">
        <f>27.5+228.56</f>
        <v>256.06</v>
      </c>
      <c r="H253" s="2">
        <f>27.5+228.56</f>
        <v>256.06</v>
      </c>
      <c r="I253" s="256">
        <f t="shared" si="11"/>
        <v>100</v>
      </c>
    </row>
    <row r="254" spans="1:9" ht="24" x14ac:dyDescent="0.2">
      <c r="A254" s="224" t="s">
        <v>474</v>
      </c>
      <c r="B254" s="17">
        <v>879</v>
      </c>
      <c r="C254" s="225" t="s">
        <v>19</v>
      </c>
      <c r="D254" s="225" t="s">
        <v>30</v>
      </c>
      <c r="E254" s="226" t="s">
        <v>193</v>
      </c>
      <c r="F254" s="48"/>
      <c r="G254" s="50">
        <f>+G255</f>
        <v>94.8</v>
      </c>
      <c r="H254" s="50">
        <f>+H255</f>
        <v>94.784999999999997</v>
      </c>
      <c r="I254" s="256">
        <f t="shared" si="11"/>
        <v>99.984177215189874</v>
      </c>
    </row>
    <row r="255" spans="1:9" ht="25.5" x14ac:dyDescent="0.2">
      <c r="A255" s="210" t="s">
        <v>66</v>
      </c>
      <c r="B255" s="17">
        <v>879</v>
      </c>
      <c r="C255" s="225" t="s">
        <v>19</v>
      </c>
      <c r="D255" s="225" t="s">
        <v>30</v>
      </c>
      <c r="E255" s="226" t="s">
        <v>193</v>
      </c>
      <c r="F255" s="17">
        <v>200</v>
      </c>
      <c r="G255" s="18">
        <v>94.8</v>
      </c>
      <c r="H255" s="18">
        <v>94.784999999999997</v>
      </c>
      <c r="I255" s="256">
        <f t="shared" si="11"/>
        <v>99.984177215189874</v>
      </c>
    </row>
    <row r="256" spans="1:9" s="42" customFormat="1" x14ac:dyDescent="0.2">
      <c r="A256" s="227" t="s">
        <v>157</v>
      </c>
      <c r="B256" s="188">
        <v>879</v>
      </c>
      <c r="C256" s="51" t="s">
        <v>103</v>
      </c>
      <c r="D256" s="51" t="s">
        <v>187</v>
      </c>
      <c r="E256" s="64"/>
      <c r="F256" s="34"/>
      <c r="G256" s="90">
        <f>+G257+G260+G263</f>
        <v>15733.86</v>
      </c>
      <c r="H256" s="90">
        <f>+H257+H260+H263</f>
        <v>15733.90681</v>
      </c>
      <c r="I256" s="256">
        <f t="shared" si="11"/>
        <v>100.00029751122739</v>
      </c>
    </row>
    <row r="257" spans="1:12" s="42" customFormat="1" x14ac:dyDescent="0.2">
      <c r="A257" s="228" t="s">
        <v>475</v>
      </c>
      <c r="B257" s="1">
        <v>879</v>
      </c>
      <c r="C257" s="37" t="s">
        <v>103</v>
      </c>
      <c r="D257" s="37" t="s">
        <v>23</v>
      </c>
      <c r="E257" s="229"/>
      <c r="F257" s="229"/>
      <c r="G257" s="229">
        <f>+G258</f>
        <v>4254.2</v>
      </c>
      <c r="H257" s="229">
        <f>+H258</f>
        <v>4254.2479999999996</v>
      </c>
      <c r="I257" s="256">
        <f t="shared" si="11"/>
        <v>100.00112829674204</v>
      </c>
      <c r="J257" s="229"/>
      <c r="K257" s="229"/>
      <c r="L257" s="229"/>
    </row>
    <row r="258" spans="1:12" s="42" customFormat="1" ht="60" x14ac:dyDescent="0.2">
      <c r="A258" s="230" t="s">
        <v>476</v>
      </c>
      <c r="B258" s="1">
        <v>879</v>
      </c>
      <c r="C258" s="37" t="s">
        <v>103</v>
      </c>
      <c r="D258" s="37" t="s">
        <v>23</v>
      </c>
      <c r="E258" s="231" t="s">
        <v>477</v>
      </c>
      <c r="F258" s="34"/>
      <c r="G258" s="44">
        <f>+G259</f>
        <v>4254.2</v>
      </c>
      <c r="H258" s="44">
        <f>+H259</f>
        <v>4254.2479999999996</v>
      </c>
      <c r="I258" s="256">
        <f t="shared" si="11"/>
        <v>100.00112829674204</v>
      </c>
    </row>
    <row r="259" spans="1:12" s="42" customFormat="1" ht="24" x14ac:dyDescent="0.2">
      <c r="A259" s="232" t="s">
        <v>478</v>
      </c>
      <c r="B259" s="1">
        <v>879</v>
      </c>
      <c r="C259" s="37" t="s">
        <v>103</v>
      </c>
      <c r="D259" s="37" t="s">
        <v>23</v>
      </c>
      <c r="E259" s="231" t="s">
        <v>479</v>
      </c>
      <c r="F259" s="233">
        <v>400</v>
      </c>
      <c r="G259" s="234">
        <v>4254.2</v>
      </c>
      <c r="H259" s="234">
        <v>4254.2479999999996</v>
      </c>
      <c r="I259" s="256">
        <f t="shared" si="11"/>
        <v>100.00112829674204</v>
      </c>
      <c r="J259" s="229"/>
      <c r="K259" s="229"/>
      <c r="L259" s="229"/>
    </row>
    <row r="260" spans="1:12" s="42" customFormat="1" x14ac:dyDescent="0.2">
      <c r="A260" s="227" t="s">
        <v>480</v>
      </c>
      <c r="B260" s="188">
        <v>879</v>
      </c>
      <c r="C260" s="51" t="s">
        <v>103</v>
      </c>
      <c r="D260" s="51" t="s">
        <v>12</v>
      </c>
      <c r="E260" s="36"/>
      <c r="F260" s="34"/>
      <c r="G260" s="90">
        <f>+G261</f>
        <v>1377.8109999999999</v>
      </c>
      <c r="H260" s="90">
        <f>+H261</f>
        <v>1377.81061</v>
      </c>
      <c r="I260" s="256">
        <f t="shared" si="11"/>
        <v>99.999971694230922</v>
      </c>
    </row>
    <row r="261" spans="1:12" ht="24" x14ac:dyDescent="0.2">
      <c r="A261" s="27" t="s">
        <v>201</v>
      </c>
      <c r="B261" s="1">
        <v>879</v>
      </c>
      <c r="C261" s="35" t="s">
        <v>103</v>
      </c>
      <c r="D261" s="35" t="s">
        <v>12</v>
      </c>
      <c r="E261" s="64" t="s">
        <v>178</v>
      </c>
      <c r="F261" s="32"/>
      <c r="G261" s="44">
        <f>+G262</f>
        <v>1377.8109999999999</v>
      </c>
      <c r="H261" s="44">
        <f>+H262</f>
        <v>1377.81061</v>
      </c>
      <c r="I261" s="256">
        <f t="shared" si="11"/>
        <v>99.999971694230922</v>
      </c>
    </row>
    <row r="262" spans="1:12" ht="25.5" x14ac:dyDescent="0.2">
      <c r="A262" s="206" t="s">
        <v>66</v>
      </c>
      <c r="B262" s="1">
        <v>879</v>
      </c>
      <c r="C262" s="35" t="s">
        <v>103</v>
      </c>
      <c r="D262" s="35" t="s">
        <v>12</v>
      </c>
      <c r="E262" s="64" t="s">
        <v>178</v>
      </c>
      <c r="F262" s="32">
        <v>200</v>
      </c>
      <c r="G262" s="44">
        <v>1377.8109999999999</v>
      </c>
      <c r="H262" s="44">
        <v>1377.81061</v>
      </c>
      <c r="I262" s="256">
        <f t="shared" si="11"/>
        <v>99.999971694230922</v>
      </c>
    </row>
    <row r="263" spans="1:12" x14ac:dyDescent="0.2">
      <c r="A263" s="205" t="s">
        <v>481</v>
      </c>
      <c r="B263" s="188">
        <v>879</v>
      </c>
      <c r="C263" s="51" t="s">
        <v>103</v>
      </c>
      <c r="D263" s="51" t="s">
        <v>98</v>
      </c>
      <c r="E263" s="36"/>
      <c r="F263" s="34"/>
      <c r="G263" s="90">
        <f>+G264+G266+G268</f>
        <v>10101.849</v>
      </c>
      <c r="H263" s="90">
        <f>+H264+H266+H268</f>
        <v>10101.8482</v>
      </c>
      <c r="I263" s="256">
        <f t="shared" si="11"/>
        <v>99.999992080657705</v>
      </c>
    </row>
    <row r="264" spans="1:12" ht="36" x14ac:dyDescent="0.2">
      <c r="A264" s="27" t="s">
        <v>482</v>
      </c>
      <c r="B264" s="1">
        <v>879</v>
      </c>
      <c r="C264" s="35" t="s">
        <v>103</v>
      </c>
      <c r="D264" s="35" t="s">
        <v>98</v>
      </c>
      <c r="E264" s="64" t="s">
        <v>483</v>
      </c>
      <c r="F264" s="32"/>
      <c r="G264" s="44">
        <f>+G265</f>
        <v>532.91999999999996</v>
      </c>
      <c r="H264" s="44">
        <f>+H265</f>
        <v>532.91962999999998</v>
      </c>
      <c r="I264" s="256">
        <f t="shared" si="11"/>
        <v>99.999930571192678</v>
      </c>
    </row>
    <row r="265" spans="1:12" ht="25.5" x14ac:dyDescent="0.2">
      <c r="A265" s="206" t="s">
        <v>66</v>
      </c>
      <c r="B265" s="1">
        <v>879</v>
      </c>
      <c r="C265" s="35" t="s">
        <v>103</v>
      </c>
      <c r="D265" s="35" t="s">
        <v>98</v>
      </c>
      <c r="E265" s="64" t="s">
        <v>483</v>
      </c>
      <c r="F265" s="32">
        <v>200</v>
      </c>
      <c r="G265" s="44">
        <v>532.91999999999996</v>
      </c>
      <c r="H265" s="44">
        <v>532.91962999999998</v>
      </c>
      <c r="I265" s="256">
        <f t="shared" si="11"/>
        <v>99.999930571192678</v>
      </c>
    </row>
    <row r="266" spans="1:12" ht="25.5" x14ac:dyDescent="0.2">
      <c r="A266" s="206" t="s">
        <v>484</v>
      </c>
      <c r="B266" s="1">
        <v>879</v>
      </c>
      <c r="C266" s="35" t="s">
        <v>103</v>
      </c>
      <c r="D266" s="35" t="s">
        <v>98</v>
      </c>
      <c r="E266" s="64" t="s">
        <v>485</v>
      </c>
      <c r="F266" s="32"/>
      <c r="G266" s="44">
        <f>+G267</f>
        <v>997.5</v>
      </c>
      <c r="H266" s="44">
        <f>+H267</f>
        <v>997.5</v>
      </c>
      <c r="I266" s="256">
        <f t="shared" si="11"/>
        <v>100</v>
      </c>
    </row>
    <row r="267" spans="1:12" ht="25.5" x14ac:dyDescent="0.2">
      <c r="A267" s="206" t="s">
        <v>66</v>
      </c>
      <c r="B267" s="1">
        <v>879</v>
      </c>
      <c r="C267" s="35" t="s">
        <v>103</v>
      </c>
      <c r="D267" s="35" t="s">
        <v>98</v>
      </c>
      <c r="E267" s="64" t="s">
        <v>485</v>
      </c>
      <c r="F267" s="32">
        <v>200</v>
      </c>
      <c r="G267" s="44">
        <v>997.5</v>
      </c>
      <c r="H267" s="44">
        <v>997.5</v>
      </c>
      <c r="I267" s="256">
        <f t="shared" ref="I267:I294" si="13">+H267/G267*100</f>
        <v>100</v>
      </c>
    </row>
    <row r="268" spans="1:12" ht="25.5" x14ac:dyDescent="0.2">
      <c r="A268" s="206" t="s">
        <v>486</v>
      </c>
      <c r="B268" s="1">
        <v>879</v>
      </c>
      <c r="C268" s="35" t="s">
        <v>103</v>
      </c>
      <c r="D268" s="35" t="s">
        <v>98</v>
      </c>
      <c r="E268" s="64" t="s">
        <v>487</v>
      </c>
      <c r="F268" s="32"/>
      <c r="G268" s="44">
        <f>+G269</f>
        <v>8571.4290000000001</v>
      </c>
      <c r="H268" s="44">
        <f>+H269</f>
        <v>8571.42857</v>
      </c>
      <c r="I268" s="256">
        <f t="shared" si="13"/>
        <v>99.999994983333579</v>
      </c>
    </row>
    <row r="269" spans="1:12" ht="25.5" x14ac:dyDescent="0.2">
      <c r="A269" s="206" t="s">
        <v>66</v>
      </c>
      <c r="B269" s="1">
        <v>879</v>
      </c>
      <c r="C269" s="35" t="s">
        <v>103</v>
      </c>
      <c r="D269" s="35" t="s">
        <v>98</v>
      </c>
      <c r="E269" s="64" t="s">
        <v>487</v>
      </c>
      <c r="F269" s="32">
        <v>200</v>
      </c>
      <c r="G269" s="44">
        <v>8571.4290000000001</v>
      </c>
      <c r="H269" s="44">
        <v>8571.42857</v>
      </c>
      <c r="I269" s="256">
        <f t="shared" si="13"/>
        <v>99.999994983333579</v>
      </c>
    </row>
    <row r="270" spans="1:12" x14ac:dyDescent="0.2">
      <c r="A270" s="205" t="s">
        <v>488</v>
      </c>
      <c r="B270" s="188">
        <v>879</v>
      </c>
      <c r="C270" s="51" t="s">
        <v>100</v>
      </c>
      <c r="D270" s="51" t="s">
        <v>98</v>
      </c>
      <c r="E270" s="36"/>
      <c r="F270" s="34"/>
      <c r="G270" s="90">
        <f>+G271</f>
        <v>4304.9409999999998</v>
      </c>
      <c r="H270" s="90">
        <f>+H271</f>
        <v>4099.9435000000003</v>
      </c>
      <c r="I270" s="256">
        <f t="shared" si="13"/>
        <v>95.238088048128901</v>
      </c>
    </row>
    <row r="271" spans="1:12" x14ac:dyDescent="0.2">
      <c r="A271" s="230" t="s">
        <v>489</v>
      </c>
      <c r="B271" s="1">
        <v>879</v>
      </c>
      <c r="C271" s="35" t="s">
        <v>100</v>
      </c>
      <c r="D271" s="35" t="s">
        <v>98</v>
      </c>
      <c r="E271" s="64" t="s">
        <v>490</v>
      </c>
      <c r="F271" s="32"/>
      <c r="G271" s="44">
        <f>+G272</f>
        <v>4304.9409999999998</v>
      </c>
      <c r="H271" s="44">
        <f>+H272</f>
        <v>4099.9435000000003</v>
      </c>
      <c r="I271" s="256">
        <f t="shared" si="13"/>
        <v>95.238088048128901</v>
      </c>
    </row>
    <row r="272" spans="1:12" ht="25.5" x14ac:dyDescent="0.2">
      <c r="A272" s="206" t="s">
        <v>66</v>
      </c>
      <c r="B272" s="1">
        <v>879</v>
      </c>
      <c r="C272" s="35" t="s">
        <v>100</v>
      </c>
      <c r="D272" s="35" t="s">
        <v>98</v>
      </c>
      <c r="E272" s="64" t="s">
        <v>490</v>
      </c>
      <c r="F272" s="32">
        <v>200</v>
      </c>
      <c r="G272" s="44">
        <v>4304.9409999999998</v>
      </c>
      <c r="H272" s="44">
        <v>4099.9435000000003</v>
      </c>
      <c r="I272" s="256">
        <f t="shared" si="13"/>
        <v>95.238088048128901</v>
      </c>
    </row>
    <row r="273" spans="1:9" x14ac:dyDescent="0.2">
      <c r="A273" s="235" t="s">
        <v>44</v>
      </c>
      <c r="B273" s="1">
        <v>879</v>
      </c>
      <c r="C273" s="35" t="s">
        <v>10</v>
      </c>
      <c r="D273" s="35"/>
      <c r="E273" s="32"/>
      <c r="F273" s="32"/>
      <c r="G273" s="90">
        <f>+G274+G277+G280</f>
        <v>548.59299999999996</v>
      </c>
      <c r="H273" s="90">
        <f>+H274+H277+H280</f>
        <v>548.59299999999996</v>
      </c>
      <c r="I273" s="256">
        <f t="shared" si="13"/>
        <v>100</v>
      </c>
    </row>
    <row r="274" spans="1:9" x14ac:dyDescent="0.2">
      <c r="A274" s="235" t="s">
        <v>158</v>
      </c>
      <c r="B274" s="1">
        <v>879</v>
      </c>
      <c r="C274" s="37" t="s">
        <v>10</v>
      </c>
      <c r="D274" s="37" t="s">
        <v>102</v>
      </c>
      <c r="E274" s="1" t="s">
        <v>87</v>
      </c>
      <c r="F274" s="32"/>
      <c r="G274" s="44">
        <f>+G275+G276</f>
        <v>465.26299999999998</v>
      </c>
      <c r="H274" s="44">
        <f>+H275+H276</f>
        <v>465.26299999999998</v>
      </c>
      <c r="I274" s="256">
        <f t="shared" si="13"/>
        <v>100</v>
      </c>
    </row>
    <row r="275" spans="1:9" ht="51" x14ac:dyDescent="0.2">
      <c r="A275" s="206" t="s">
        <v>21</v>
      </c>
      <c r="B275" s="1">
        <v>879</v>
      </c>
      <c r="C275" s="37" t="s">
        <v>10</v>
      </c>
      <c r="D275" s="37" t="s">
        <v>102</v>
      </c>
      <c r="E275" s="1" t="s">
        <v>87</v>
      </c>
      <c r="F275" s="1">
        <v>100</v>
      </c>
      <c r="G275" s="2">
        <f>294.767+89.018</f>
        <v>383.78499999999997</v>
      </c>
      <c r="H275" s="2">
        <f>294.767+89.018</f>
        <v>383.78499999999997</v>
      </c>
      <c r="I275" s="256">
        <f t="shared" si="13"/>
        <v>100</v>
      </c>
    </row>
    <row r="276" spans="1:9" ht="25.5" x14ac:dyDescent="0.2">
      <c r="A276" s="206" t="s">
        <v>66</v>
      </c>
      <c r="B276" s="1">
        <v>879</v>
      </c>
      <c r="C276" s="37" t="s">
        <v>10</v>
      </c>
      <c r="D276" s="37" t="s">
        <v>102</v>
      </c>
      <c r="E276" s="1" t="s">
        <v>87</v>
      </c>
      <c r="F276" s="1">
        <v>200</v>
      </c>
      <c r="G276" s="2">
        <f>79.615+1.863</f>
        <v>81.477999999999994</v>
      </c>
      <c r="H276" s="2">
        <f>79.615+1.863</f>
        <v>81.477999999999994</v>
      </c>
      <c r="I276" s="256">
        <f t="shared" si="13"/>
        <v>100</v>
      </c>
    </row>
    <row r="277" spans="1:9" x14ac:dyDescent="0.2">
      <c r="A277" s="235" t="s">
        <v>164</v>
      </c>
      <c r="B277" s="1">
        <v>879</v>
      </c>
      <c r="C277" s="37" t="s">
        <v>10</v>
      </c>
      <c r="D277" s="37" t="s">
        <v>102</v>
      </c>
      <c r="G277" s="43">
        <f>+G278</f>
        <v>43</v>
      </c>
      <c r="H277" s="43">
        <f>+H278</f>
        <v>43</v>
      </c>
      <c r="I277" s="256">
        <f t="shared" si="13"/>
        <v>100</v>
      </c>
    </row>
    <row r="278" spans="1:9" x14ac:dyDescent="0.2">
      <c r="A278" s="28" t="s">
        <v>491</v>
      </c>
      <c r="B278" s="1">
        <v>879</v>
      </c>
      <c r="C278" s="37" t="s">
        <v>10</v>
      </c>
      <c r="D278" s="37" t="s">
        <v>102</v>
      </c>
      <c r="E278" s="1" t="s">
        <v>178</v>
      </c>
      <c r="G278" s="44">
        <f>+G279</f>
        <v>43</v>
      </c>
      <c r="H278" s="44">
        <f>+H279</f>
        <v>43</v>
      </c>
      <c r="I278" s="256">
        <f t="shared" si="13"/>
        <v>100</v>
      </c>
    </row>
    <row r="279" spans="1:9" ht="25.5" x14ac:dyDescent="0.2">
      <c r="A279" s="206" t="s">
        <v>66</v>
      </c>
      <c r="B279" s="1">
        <v>879</v>
      </c>
      <c r="C279" s="37" t="s">
        <v>10</v>
      </c>
      <c r="D279" s="37" t="s">
        <v>102</v>
      </c>
      <c r="E279" s="1" t="s">
        <v>178</v>
      </c>
      <c r="F279" s="1">
        <v>200</v>
      </c>
      <c r="G279" s="2">
        <v>43</v>
      </c>
      <c r="H279" s="2">
        <v>43</v>
      </c>
      <c r="I279" s="256">
        <f t="shared" si="13"/>
        <v>100</v>
      </c>
    </row>
    <row r="280" spans="1:9" ht="48" x14ac:dyDescent="0.2">
      <c r="A280" s="209" t="s">
        <v>492</v>
      </c>
      <c r="B280" s="236">
        <v>879</v>
      </c>
      <c r="C280" s="237" t="s">
        <v>10</v>
      </c>
      <c r="D280" s="237" t="s">
        <v>102</v>
      </c>
      <c r="E280" s="55" t="s">
        <v>493</v>
      </c>
      <c r="F280" s="236"/>
      <c r="G280" s="238">
        <f>+G281</f>
        <v>40.33</v>
      </c>
      <c r="H280" s="238">
        <f>+H281</f>
        <v>40.33</v>
      </c>
      <c r="I280" s="256">
        <f t="shared" si="13"/>
        <v>100</v>
      </c>
    </row>
    <row r="281" spans="1:9" x14ac:dyDescent="0.2">
      <c r="A281" s="210" t="s">
        <v>69</v>
      </c>
      <c r="B281" s="236">
        <v>879</v>
      </c>
      <c r="C281" s="237" t="s">
        <v>10</v>
      </c>
      <c r="D281" s="237" t="s">
        <v>102</v>
      </c>
      <c r="E281" s="55" t="s">
        <v>493</v>
      </c>
      <c r="F281" s="236">
        <v>200</v>
      </c>
      <c r="G281" s="238">
        <v>40.33</v>
      </c>
      <c r="H281" s="238">
        <v>40.33</v>
      </c>
      <c r="I281" s="256">
        <f t="shared" si="13"/>
        <v>100</v>
      </c>
    </row>
    <row r="282" spans="1:9" x14ac:dyDescent="0.2">
      <c r="A282" s="239" t="s">
        <v>165</v>
      </c>
      <c r="B282" s="1">
        <v>879</v>
      </c>
      <c r="C282" s="37" t="s">
        <v>102</v>
      </c>
      <c r="D282" s="37" t="s">
        <v>102</v>
      </c>
      <c r="G282" s="44">
        <f>+G283</f>
        <v>289.10000000000002</v>
      </c>
      <c r="H282" s="44">
        <f>+H283</f>
        <v>289.024</v>
      </c>
      <c r="I282" s="256">
        <f t="shared" si="13"/>
        <v>99.973711518505709</v>
      </c>
    </row>
    <row r="283" spans="1:9" ht="38.25" x14ac:dyDescent="0.2">
      <c r="A283" s="23" t="s">
        <v>494</v>
      </c>
      <c r="B283" s="1">
        <v>879</v>
      </c>
      <c r="C283" s="37" t="s">
        <v>102</v>
      </c>
      <c r="D283" s="37" t="s">
        <v>102</v>
      </c>
      <c r="E283" s="1" t="s">
        <v>179</v>
      </c>
      <c r="G283" s="44">
        <f>+G284</f>
        <v>289.10000000000002</v>
      </c>
      <c r="H283" s="44">
        <f>+H284</f>
        <v>289.024</v>
      </c>
      <c r="I283" s="256">
        <f t="shared" si="13"/>
        <v>99.973711518505709</v>
      </c>
    </row>
    <row r="284" spans="1:9" ht="25.5" x14ac:dyDescent="0.2">
      <c r="A284" s="206" t="s">
        <v>66</v>
      </c>
      <c r="B284" s="1">
        <v>879</v>
      </c>
      <c r="C284" s="37" t="s">
        <v>102</v>
      </c>
      <c r="D284" s="37" t="s">
        <v>102</v>
      </c>
      <c r="E284" s="1" t="s">
        <v>179</v>
      </c>
      <c r="F284" s="1">
        <v>200</v>
      </c>
      <c r="G284" s="2">
        <v>289.10000000000002</v>
      </c>
      <c r="H284" s="2">
        <v>289.024</v>
      </c>
      <c r="I284" s="256">
        <f t="shared" si="13"/>
        <v>99.973711518505709</v>
      </c>
    </row>
    <row r="285" spans="1:9" x14ac:dyDescent="0.2">
      <c r="A285" s="206" t="s">
        <v>47</v>
      </c>
      <c r="B285" s="1">
        <v>878</v>
      </c>
      <c r="C285" s="37" t="s">
        <v>97</v>
      </c>
      <c r="D285" s="37"/>
      <c r="E285" s="1"/>
      <c r="F285" s="1"/>
      <c r="G285" s="2">
        <f>+G286+G288</f>
        <v>1442.5</v>
      </c>
      <c r="H285" s="2">
        <f>+H286+H288</f>
        <v>1442.5</v>
      </c>
      <c r="I285" s="256">
        <f t="shared" si="13"/>
        <v>100</v>
      </c>
    </row>
    <row r="286" spans="1:9" ht="25.5" x14ac:dyDescent="0.2">
      <c r="A286" s="206" t="s">
        <v>196</v>
      </c>
      <c r="B286" s="1">
        <v>879</v>
      </c>
      <c r="C286" s="37" t="s">
        <v>97</v>
      </c>
      <c r="D286" s="37" t="s">
        <v>98</v>
      </c>
      <c r="E286" s="30" t="s">
        <v>495</v>
      </c>
      <c r="F286" s="1"/>
      <c r="G286" s="2">
        <f>+G287</f>
        <v>1417.5</v>
      </c>
      <c r="H286" s="2">
        <f>+H287</f>
        <v>1417.5</v>
      </c>
      <c r="I286" s="256">
        <f t="shared" si="13"/>
        <v>100</v>
      </c>
    </row>
    <row r="287" spans="1:9" x14ac:dyDescent="0.2">
      <c r="A287" s="206" t="s">
        <v>69</v>
      </c>
      <c r="B287" s="1">
        <v>879</v>
      </c>
      <c r="C287" s="37" t="s">
        <v>97</v>
      </c>
      <c r="D287" s="37" t="s">
        <v>98</v>
      </c>
      <c r="E287" s="30" t="s">
        <v>495</v>
      </c>
      <c r="F287" s="1">
        <v>300</v>
      </c>
      <c r="G287" s="2">
        <v>1417.5</v>
      </c>
      <c r="H287" s="2">
        <v>1417.5</v>
      </c>
      <c r="I287" s="256">
        <f t="shared" si="13"/>
        <v>100</v>
      </c>
    </row>
    <row r="288" spans="1:9" ht="25.5" x14ac:dyDescent="0.2">
      <c r="A288" s="206" t="s">
        <v>151</v>
      </c>
      <c r="B288" s="1">
        <v>879</v>
      </c>
      <c r="C288" s="37" t="s">
        <v>97</v>
      </c>
      <c r="D288" s="37" t="s">
        <v>98</v>
      </c>
      <c r="E288" s="30" t="s">
        <v>496</v>
      </c>
      <c r="F288" s="1"/>
      <c r="G288" s="2">
        <f>+G289</f>
        <v>25</v>
      </c>
      <c r="H288" s="2">
        <f>+H289</f>
        <v>25</v>
      </c>
      <c r="I288" s="256">
        <f t="shared" si="13"/>
        <v>100</v>
      </c>
    </row>
    <row r="289" spans="1:9" ht="25.5" x14ac:dyDescent="0.2">
      <c r="A289" s="206" t="s">
        <v>66</v>
      </c>
      <c r="B289" s="1">
        <v>879</v>
      </c>
      <c r="C289" s="37" t="s">
        <v>97</v>
      </c>
      <c r="D289" s="37" t="s">
        <v>98</v>
      </c>
      <c r="E289" s="30" t="s">
        <v>496</v>
      </c>
      <c r="F289" s="1">
        <v>244</v>
      </c>
      <c r="G289" s="2">
        <v>25</v>
      </c>
      <c r="H289" s="2">
        <v>25</v>
      </c>
      <c r="I289" s="256">
        <f t="shared" si="13"/>
        <v>100</v>
      </c>
    </row>
    <row r="290" spans="1:9" x14ac:dyDescent="0.2">
      <c r="A290" s="206" t="s">
        <v>167</v>
      </c>
      <c r="B290" s="1">
        <v>879</v>
      </c>
      <c r="C290" s="37" t="s">
        <v>105</v>
      </c>
      <c r="D290" s="37"/>
      <c r="E290" s="1"/>
      <c r="F290" s="1"/>
      <c r="G290" s="2">
        <f>+G291</f>
        <v>495.149</v>
      </c>
      <c r="H290" s="2">
        <f>+H291</f>
        <v>495.149</v>
      </c>
      <c r="I290" s="256">
        <f t="shared" si="13"/>
        <v>100</v>
      </c>
    </row>
    <row r="291" spans="1:9" s="46" customFormat="1" ht="38.25" x14ac:dyDescent="0.2">
      <c r="A291" s="22" t="s">
        <v>186</v>
      </c>
      <c r="B291" s="25">
        <v>879</v>
      </c>
      <c r="C291" s="45">
        <v>11</v>
      </c>
      <c r="D291" s="37" t="s">
        <v>23</v>
      </c>
      <c r="E291" s="1" t="s">
        <v>180</v>
      </c>
      <c r="G291" s="91">
        <f>+G292</f>
        <v>495.149</v>
      </c>
      <c r="H291" s="91">
        <f>+H292</f>
        <v>495.149</v>
      </c>
      <c r="I291" s="256">
        <f t="shared" si="13"/>
        <v>100</v>
      </c>
    </row>
    <row r="292" spans="1:9" ht="25.5" x14ac:dyDescent="0.2">
      <c r="A292" s="206" t="s">
        <v>66</v>
      </c>
      <c r="B292" s="1">
        <v>879</v>
      </c>
      <c r="C292" s="37" t="s">
        <v>105</v>
      </c>
      <c r="D292" s="37" t="s">
        <v>23</v>
      </c>
      <c r="E292" s="1" t="s">
        <v>180</v>
      </c>
      <c r="F292" s="1">
        <v>200</v>
      </c>
      <c r="G292" s="2">
        <v>495.149</v>
      </c>
      <c r="H292" s="2">
        <f>457.15+37.999</f>
        <v>495.149</v>
      </c>
      <c r="I292" s="256">
        <f t="shared" si="13"/>
        <v>100</v>
      </c>
    </row>
    <row r="293" spans="1:9" x14ac:dyDescent="0.2">
      <c r="A293" s="224" t="s">
        <v>497</v>
      </c>
      <c r="B293" s="1">
        <v>879</v>
      </c>
      <c r="C293" s="64">
        <v>12</v>
      </c>
      <c r="D293" s="37" t="s">
        <v>19</v>
      </c>
      <c r="E293" s="64" t="s">
        <v>193</v>
      </c>
      <c r="G293" s="32">
        <f>+G294</f>
        <v>48.3</v>
      </c>
      <c r="H293" s="32">
        <f>+H294</f>
        <v>48.287999999999997</v>
      </c>
      <c r="I293" s="256">
        <f t="shared" si="13"/>
        <v>99.975155279503099</v>
      </c>
    </row>
    <row r="294" spans="1:9" ht="25.5" x14ac:dyDescent="0.2">
      <c r="A294" s="206" t="s">
        <v>66</v>
      </c>
      <c r="B294" s="1">
        <v>879</v>
      </c>
      <c r="C294" s="38">
        <v>12</v>
      </c>
      <c r="D294" s="37" t="s">
        <v>19</v>
      </c>
      <c r="E294" s="38" t="s">
        <v>193</v>
      </c>
      <c r="F294" s="38">
        <v>200</v>
      </c>
      <c r="G294" s="32">
        <v>48.3</v>
      </c>
      <c r="H294" s="32">
        <v>48.287999999999997</v>
      </c>
      <c r="I294" s="256">
        <f t="shared" si="13"/>
        <v>99.975155279503099</v>
      </c>
    </row>
  </sheetData>
  <mergeCells count="14">
    <mergeCell ref="G2:I2"/>
    <mergeCell ref="G1:I1"/>
    <mergeCell ref="G3:I3"/>
    <mergeCell ref="G8:G9"/>
    <mergeCell ref="H8:H9"/>
    <mergeCell ref="I8:I9"/>
    <mergeCell ref="C4:G4"/>
    <mergeCell ref="F8:F9"/>
    <mergeCell ref="A5:I5"/>
    <mergeCell ref="A8:A9"/>
    <mergeCell ref="B8:B9"/>
    <mergeCell ref="C8:C9"/>
    <mergeCell ref="D8:D9"/>
    <mergeCell ref="E8:E9"/>
  </mergeCells>
  <pageMargins left="0.59055118110236227" right="0.19685039370078741" top="0.39370078740157483" bottom="0.39370078740157483" header="0.31496062992125984" footer="0.31496062992125984"/>
  <pageSetup paperSize="9" scale="75" orientation="portrait" r:id="rId1"/>
  <colBreaks count="1" manualBreakCount="1">
    <brk id="9" max="29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110" zoomScaleSheetLayoutView="110" workbookViewId="0">
      <selection activeCell="E8" sqref="E8:E9"/>
    </sheetView>
  </sheetViews>
  <sheetFormatPr defaultRowHeight="15" x14ac:dyDescent="0.25"/>
  <cols>
    <col min="1" max="1" width="5.7109375" customWidth="1"/>
    <col min="2" max="2" width="27.42578125" customWidth="1"/>
    <col min="3" max="3" width="42.5703125" customWidth="1"/>
    <col min="4" max="4" width="19.5703125" customWidth="1"/>
    <col min="5" max="5" width="11.85546875" customWidth="1"/>
    <col min="6" max="6" width="10.85546875" customWidth="1"/>
    <col min="7" max="7" width="9.42578125" hidden="1" customWidth="1"/>
    <col min="8" max="8" width="11.42578125" hidden="1" customWidth="1"/>
    <col min="9" max="9" width="9.140625" hidden="1" customWidth="1"/>
    <col min="10" max="10" width="11.42578125" hidden="1" customWidth="1"/>
    <col min="11" max="11" width="9.140625" hidden="1" customWidth="1"/>
    <col min="12" max="12" width="10.140625" hidden="1" customWidth="1"/>
    <col min="13" max="13" width="9.140625" hidden="1" customWidth="1"/>
    <col min="14" max="14" width="9.28515625" customWidth="1"/>
    <col min="16" max="16" width="10.85546875" bestFit="1" customWidth="1"/>
    <col min="17" max="17" width="11.5703125" customWidth="1"/>
    <col min="18" max="18" width="12.85546875" bestFit="1" customWidth="1"/>
    <col min="19" max="19" width="9.5703125" bestFit="1" customWidth="1"/>
    <col min="20" max="20" width="10.85546875" bestFit="1" customWidth="1"/>
    <col min="244" max="244" width="65.7109375" customWidth="1"/>
    <col min="245" max="245" width="4.85546875" customWidth="1"/>
    <col min="246" max="247" width="3.7109375" customWidth="1"/>
    <col min="248" max="248" width="11.42578125" customWidth="1"/>
    <col min="249" max="249" width="3.7109375" customWidth="1"/>
    <col min="250" max="250" width="11.5703125" customWidth="1"/>
    <col min="252" max="252" width="6.85546875" customWidth="1"/>
    <col min="253" max="253" width="61.7109375" customWidth="1"/>
    <col min="254" max="254" width="5.85546875" customWidth="1"/>
    <col min="255" max="255" width="3.7109375" customWidth="1"/>
    <col min="256" max="256" width="13" customWidth="1"/>
    <col min="257" max="257" width="3.7109375" customWidth="1"/>
    <col min="258" max="259" width="0" hidden="1" customWidth="1"/>
    <col min="260" max="260" width="11.28515625" customWidth="1"/>
    <col min="261" max="261" width="10.5703125" bestFit="1" customWidth="1"/>
    <col min="262" max="262" width="10.140625" customWidth="1"/>
    <col min="263" max="263" width="0.140625" customWidth="1"/>
    <col min="264" max="264" width="10.5703125" bestFit="1" customWidth="1"/>
    <col min="500" max="500" width="65.7109375" customWidth="1"/>
    <col min="501" max="501" width="4.85546875" customWidth="1"/>
    <col min="502" max="503" width="3.7109375" customWidth="1"/>
    <col min="504" max="504" width="11.42578125" customWidth="1"/>
    <col min="505" max="505" width="3.7109375" customWidth="1"/>
    <col min="506" max="506" width="11.5703125" customWidth="1"/>
    <col min="508" max="508" width="6.85546875" customWidth="1"/>
    <col min="509" max="509" width="61.7109375" customWidth="1"/>
    <col min="510" max="510" width="5.85546875" customWidth="1"/>
    <col min="511" max="511" width="3.7109375" customWidth="1"/>
    <col min="512" max="512" width="13" customWidth="1"/>
    <col min="513" max="513" width="3.7109375" customWidth="1"/>
    <col min="514" max="515" width="0" hidden="1" customWidth="1"/>
    <col min="516" max="516" width="11.28515625" customWidth="1"/>
    <col min="517" max="517" width="10.5703125" bestFit="1" customWidth="1"/>
    <col min="518" max="518" width="10.140625" customWidth="1"/>
    <col min="519" max="519" width="0.140625" customWidth="1"/>
    <col min="520" max="520" width="10.5703125" bestFit="1" customWidth="1"/>
    <col min="756" max="756" width="65.7109375" customWidth="1"/>
    <col min="757" max="757" width="4.85546875" customWidth="1"/>
    <col min="758" max="759" width="3.7109375" customWidth="1"/>
    <col min="760" max="760" width="11.42578125" customWidth="1"/>
    <col min="761" max="761" width="3.7109375" customWidth="1"/>
    <col min="762" max="762" width="11.5703125" customWidth="1"/>
    <col min="764" max="764" width="6.85546875" customWidth="1"/>
    <col min="765" max="765" width="61.7109375" customWidth="1"/>
    <col min="766" max="766" width="5.85546875" customWidth="1"/>
    <col min="767" max="767" width="3.7109375" customWidth="1"/>
    <col min="768" max="768" width="13" customWidth="1"/>
    <col min="769" max="769" width="3.7109375" customWidth="1"/>
    <col min="770" max="771" width="0" hidden="1" customWidth="1"/>
    <col min="772" max="772" width="11.28515625" customWidth="1"/>
    <col min="773" max="773" width="10.5703125" bestFit="1" customWidth="1"/>
    <col min="774" max="774" width="10.140625" customWidth="1"/>
    <col min="775" max="775" width="0.140625" customWidth="1"/>
    <col min="776" max="776" width="10.5703125" bestFit="1" customWidth="1"/>
    <col min="1012" max="1012" width="65.7109375" customWidth="1"/>
    <col min="1013" max="1013" width="4.85546875" customWidth="1"/>
    <col min="1014" max="1015" width="3.7109375" customWidth="1"/>
    <col min="1016" max="1016" width="11.42578125" customWidth="1"/>
    <col min="1017" max="1017" width="3.7109375" customWidth="1"/>
    <col min="1018" max="1018" width="11.5703125" customWidth="1"/>
    <col min="1020" max="1020" width="6.85546875" customWidth="1"/>
    <col min="1021" max="1021" width="61.7109375" customWidth="1"/>
    <col min="1022" max="1022" width="5.85546875" customWidth="1"/>
    <col min="1023" max="1023" width="3.7109375" customWidth="1"/>
    <col min="1024" max="1024" width="13" customWidth="1"/>
    <col min="1025" max="1025" width="3.7109375" customWidth="1"/>
    <col min="1026" max="1027" width="0" hidden="1" customWidth="1"/>
    <col min="1028" max="1028" width="11.28515625" customWidth="1"/>
    <col min="1029" max="1029" width="10.5703125" bestFit="1" customWidth="1"/>
    <col min="1030" max="1030" width="10.140625" customWidth="1"/>
    <col min="1031" max="1031" width="0.140625" customWidth="1"/>
    <col min="1032" max="1032" width="10.5703125" bestFit="1" customWidth="1"/>
    <col min="1268" max="1268" width="65.7109375" customWidth="1"/>
    <col min="1269" max="1269" width="4.85546875" customWidth="1"/>
    <col min="1270" max="1271" width="3.7109375" customWidth="1"/>
    <col min="1272" max="1272" width="11.42578125" customWidth="1"/>
    <col min="1273" max="1273" width="3.7109375" customWidth="1"/>
    <col min="1274" max="1274" width="11.5703125" customWidth="1"/>
    <col min="1276" max="1276" width="6.85546875" customWidth="1"/>
    <col min="1277" max="1277" width="61.7109375" customWidth="1"/>
    <col min="1278" max="1278" width="5.85546875" customWidth="1"/>
    <col min="1279" max="1279" width="3.7109375" customWidth="1"/>
    <col min="1280" max="1280" width="13" customWidth="1"/>
    <col min="1281" max="1281" width="3.7109375" customWidth="1"/>
    <col min="1282" max="1283" width="0" hidden="1" customWidth="1"/>
    <col min="1284" max="1284" width="11.28515625" customWidth="1"/>
    <col min="1285" max="1285" width="10.5703125" bestFit="1" customWidth="1"/>
    <col min="1286" max="1286" width="10.140625" customWidth="1"/>
    <col min="1287" max="1287" width="0.140625" customWidth="1"/>
    <col min="1288" max="1288" width="10.5703125" bestFit="1" customWidth="1"/>
    <col min="1524" max="1524" width="65.7109375" customWidth="1"/>
    <col min="1525" max="1525" width="4.85546875" customWidth="1"/>
    <col min="1526" max="1527" width="3.7109375" customWidth="1"/>
    <col min="1528" max="1528" width="11.42578125" customWidth="1"/>
    <col min="1529" max="1529" width="3.7109375" customWidth="1"/>
    <col min="1530" max="1530" width="11.5703125" customWidth="1"/>
    <col min="1532" max="1532" width="6.85546875" customWidth="1"/>
    <col min="1533" max="1533" width="61.7109375" customWidth="1"/>
    <col min="1534" max="1534" width="5.85546875" customWidth="1"/>
    <col min="1535" max="1535" width="3.7109375" customWidth="1"/>
    <col min="1536" max="1536" width="13" customWidth="1"/>
    <col min="1537" max="1537" width="3.7109375" customWidth="1"/>
    <col min="1538" max="1539" width="0" hidden="1" customWidth="1"/>
    <col min="1540" max="1540" width="11.28515625" customWidth="1"/>
    <col min="1541" max="1541" width="10.5703125" bestFit="1" customWidth="1"/>
    <col min="1542" max="1542" width="10.140625" customWidth="1"/>
    <col min="1543" max="1543" width="0.140625" customWidth="1"/>
    <col min="1544" max="1544" width="10.5703125" bestFit="1" customWidth="1"/>
    <col min="1780" max="1780" width="65.7109375" customWidth="1"/>
    <col min="1781" max="1781" width="4.85546875" customWidth="1"/>
    <col min="1782" max="1783" width="3.7109375" customWidth="1"/>
    <col min="1784" max="1784" width="11.42578125" customWidth="1"/>
    <col min="1785" max="1785" width="3.7109375" customWidth="1"/>
    <col min="1786" max="1786" width="11.5703125" customWidth="1"/>
    <col min="1788" max="1788" width="6.85546875" customWidth="1"/>
    <col min="1789" max="1789" width="61.7109375" customWidth="1"/>
    <col min="1790" max="1790" width="5.85546875" customWidth="1"/>
    <col min="1791" max="1791" width="3.7109375" customWidth="1"/>
    <col min="1792" max="1792" width="13" customWidth="1"/>
    <col min="1793" max="1793" width="3.7109375" customWidth="1"/>
    <col min="1794" max="1795" width="0" hidden="1" customWidth="1"/>
    <col min="1796" max="1796" width="11.28515625" customWidth="1"/>
    <col min="1797" max="1797" width="10.5703125" bestFit="1" customWidth="1"/>
    <col min="1798" max="1798" width="10.140625" customWidth="1"/>
    <col min="1799" max="1799" width="0.140625" customWidth="1"/>
    <col min="1800" max="1800" width="10.5703125" bestFit="1" customWidth="1"/>
    <col min="2036" max="2036" width="65.7109375" customWidth="1"/>
    <col min="2037" max="2037" width="4.85546875" customWidth="1"/>
    <col min="2038" max="2039" width="3.7109375" customWidth="1"/>
    <col min="2040" max="2040" width="11.42578125" customWidth="1"/>
    <col min="2041" max="2041" width="3.7109375" customWidth="1"/>
    <col min="2042" max="2042" width="11.5703125" customWidth="1"/>
    <col min="2044" max="2044" width="6.85546875" customWidth="1"/>
    <col min="2045" max="2045" width="61.7109375" customWidth="1"/>
    <col min="2046" max="2046" width="5.85546875" customWidth="1"/>
    <col min="2047" max="2047" width="3.7109375" customWidth="1"/>
    <col min="2048" max="2048" width="13" customWidth="1"/>
    <col min="2049" max="2049" width="3.7109375" customWidth="1"/>
    <col min="2050" max="2051" width="0" hidden="1" customWidth="1"/>
    <col min="2052" max="2052" width="11.28515625" customWidth="1"/>
    <col min="2053" max="2053" width="10.5703125" bestFit="1" customWidth="1"/>
    <col min="2054" max="2054" width="10.140625" customWidth="1"/>
    <col min="2055" max="2055" width="0.140625" customWidth="1"/>
    <col min="2056" max="2056" width="10.5703125" bestFit="1" customWidth="1"/>
    <col min="2292" max="2292" width="65.7109375" customWidth="1"/>
    <col min="2293" max="2293" width="4.85546875" customWidth="1"/>
    <col min="2294" max="2295" width="3.7109375" customWidth="1"/>
    <col min="2296" max="2296" width="11.42578125" customWidth="1"/>
    <col min="2297" max="2297" width="3.7109375" customWidth="1"/>
    <col min="2298" max="2298" width="11.5703125" customWidth="1"/>
    <col min="2300" max="2300" width="6.85546875" customWidth="1"/>
    <col min="2301" max="2301" width="61.7109375" customWidth="1"/>
    <col min="2302" max="2302" width="5.85546875" customWidth="1"/>
    <col min="2303" max="2303" width="3.7109375" customWidth="1"/>
    <col min="2304" max="2304" width="13" customWidth="1"/>
    <col min="2305" max="2305" width="3.7109375" customWidth="1"/>
    <col min="2306" max="2307" width="0" hidden="1" customWidth="1"/>
    <col min="2308" max="2308" width="11.28515625" customWidth="1"/>
    <col min="2309" max="2309" width="10.5703125" bestFit="1" customWidth="1"/>
    <col min="2310" max="2310" width="10.140625" customWidth="1"/>
    <col min="2311" max="2311" width="0.140625" customWidth="1"/>
    <col min="2312" max="2312" width="10.5703125" bestFit="1" customWidth="1"/>
    <col min="2548" max="2548" width="65.7109375" customWidth="1"/>
    <col min="2549" max="2549" width="4.85546875" customWidth="1"/>
    <col min="2550" max="2551" width="3.7109375" customWidth="1"/>
    <col min="2552" max="2552" width="11.42578125" customWidth="1"/>
    <col min="2553" max="2553" width="3.7109375" customWidth="1"/>
    <col min="2554" max="2554" width="11.5703125" customWidth="1"/>
    <col min="2556" max="2556" width="6.85546875" customWidth="1"/>
    <col min="2557" max="2557" width="61.7109375" customWidth="1"/>
    <col min="2558" max="2558" width="5.85546875" customWidth="1"/>
    <col min="2559" max="2559" width="3.7109375" customWidth="1"/>
    <col min="2560" max="2560" width="13" customWidth="1"/>
    <col min="2561" max="2561" width="3.7109375" customWidth="1"/>
    <col min="2562" max="2563" width="0" hidden="1" customWidth="1"/>
    <col min="2564" max="2564" width="11.28515625" customWidth="1"/>
    <col min="2565" max="2565" width="10.5703125" bestFit="1" customWidth="1"/>
    <col min="2566" max="2566" width="10.140625" customWidth="1"/>
    <col min="2567" max="2567" width="0.140625" customWidth="1"/>
    <col min="2568" max="2568" width="10.5703125" bestFit="1" customWidth="1"/>
    <col min="2804" max="2804" width="65.7109375" customWidth="1"/>
    <col min="2805" max="2805" width="4.85546875" customWidth="1"/>
    <col min="2806" max="2807" width="3.7109375" customWidth="1"/>
    <col min="2808" max="2808" width="11.42578125" customWidth="1"/>
    <col min="2809" max="2809" width="3.7109375" customWidth="1"/>
    <col min="2810" max="2810" width="11.5703125" customWidth="1"/>
    <col min="2812" max="2812" width="6.85546875" customWidth="1"/>
    <col min="2813" max="2813" width="61.7109375" customWidth="1"/>
    <col min="2814" max="2814" width="5.85546875" customWidth="1"/>
    <col min="2815" max="2815" width="3.7109375" customWidth="1"/>
    <col min="2816" max="2816" width="13" customWidth="1"/>
    <col min="2817" max="2817" width="3.7109375" customWidth="1"/>
    <col min="2818" max="2819" width="0" hidden="1" customWidth="1"/>
    <col min="2820" max="2820" width="11.28515625" customWidth="1"/>
    <col min="2821" max="2821" width="10.5703125" bestFit="1" customWidth="1"/>
    <col min="2822" max="2822" width="10.140625" customWidth="1"/>
    <col min="2823" max="2823" width="0.140625" customWidth="1"/>
    <col min="2824" max="2824" width="10.5703125" bestFit="1" customWidth="1"/>
    <col min="3060" max="3060" width="65.7109375" customWidth="1"/>
    <col min="3061" max="3061" width="4.85546875" customWidth="1"/>
    <col min="3062" max="3063" width="3.7109375" customWidth="1"/>
    <col min="3064" max="3064" width="11.42578125" customWidth="1"/>
    <col min="3065" max="3065" width="3.7109375" customWidth="1"/>
    <col min="3066" max="3066" width="11.5703125" customWidth="1"/>
    <col min="3068" max="3068" width="6.85546875" customWidth="1"/>
    <col min="3069" max="3069" width="61.7109375" customWidth="1"/>
    <col min="3070" max="3070" width="5.85546875" customWidth="1"/>
    <col min="3071" max="3071" width="3.7109375" customWidth="1"/>
    <col min="3072" max="3072" width="13" customWidth="1"/>
    <col min="3073" max="3073" width="3.7109375" customWidth="1"/>
    <col min="3074" max="3075" width="0" hidden="1" customWidth="1"/>
    <col min="3076" max="3076" width="11.28515625" customWidth="1"/>
    <col min="3077" max="3077" width="10.5703125" bestFit="1" customWidth="1"/>
    <col min="3078" max="3078" width="10.140625" customWidth="1"/>
    <col min="3079" max="3079" width="0.140625" customWidth="1"/>
    <col min="3080" max="3080" width="10.5703125" bestFit="1" customWidth="1"/>
    <col min="3316" max="3316" width="65.7109375" customWidth="1"/>
    <col min="3317" max="3317" width="4.85546875" customWidth="1"/>
    <col min="3318" max="3319" width="3.7109375" customWidth="1"/>
    <col min="3320" max="3320" width="11.42578125" customWidth="1"/>
    <col min="3321" max="3321" width="3.7109375" customWidth="1"/>
    <col min="3322" max="3322" width="11.5703125" customWidth="1"/>
    <col min="3324" max="3324" width="6.85546875" customWidth="1"/>
    <col min="3325" max="3325" width="61.7109375" customWidth="1"/>
    <col min="3326" max="3326" width="5.85546875" customWidth="1"/>
    <col min="3327" max="3327" width="3.7109375" customWidth="1"/>
    <col min="3328" max="3328" width="13" customWidth="1"/>
    <col min="3329" max="3329" width="3.7109375" customWidth="1"/>
    <col min="3330" max="3331" width="0" hidden="1" customWidth="1"/>
    <col min="3332" max="3332" width="11.28515625" customWidth="1"/>
    <col min="3333" max="3333" width="10.5703125" bestFit="1" customWidth="1"/>
    <col min="3334" max="3334" width="10.140625" customWidth="1"/>
    <col min="3335" max="3335" width="0.140625" customWidth="1"/>
    <col min="3336" max="3336" width="10.5703125" bestFit="1" customWidth="1"/>
    <col min="3572" max="3572" width="65.7109375" customWidth="1"/>
    <col min="3573" max="3573" width="4.85546875" customWidth="1"/>
    <col min="3574" max="3575" width="3.7109375" customWidth="1"/>
    <col min="3576" max="3576" width="11.42578125" customWidth="1"/>
    <col min="3577" max="3577" width="3.7109375" customWidth="1"/>
    <col min="3578" max="3578" width="11.5703125" customWidth="1"/>
    <col min="3580" max="3580" width="6.85546875" customWidth="1"/>
    <col min="3581" max="3581" width="61.7109375" customWidth="1"/>
    <col min="3582" max="3582" width="5.85546875" customWidth="1"/>
    <col min="3583" max="3583" width="3.7109375" customWidth="1"/>
    <col min="3584" max="3584" width="13" customWidth="1"/>
    <col min="3585" max="3585" width="3.7109375" customWidth="1"/>
    <col min="3586" max="3587" width="0" hidden="1" customWidth="1"/>
    <col min="3588" max="3588" width="11.28515625" customWidth="1"/>
    <col min="3589" max="3589" width="10.5703125" bestFit="1" customWidth="1"/>
    <col min="3590" max="3590" width="10.140625" customWidth="1"/>
    <col min="3591" max="3591" width="0.140625" customWidth="1"/>
    <col min="3592" max="3592" width="10.5703125" bestFit="1" customWidth="1"/>
    <col min="3828" max="3828" width="65.7109375" customWidth="1"/>
    <col min="3829" max="3829" width="4.85546875" customWidth="1"/>
    <col min="3830" max="3831" width="3.7109375" customWidth="1"/>
    <col min="3832" max="3832" width="11.42578125" customWidth="1"/>
    <col min="3833" max="3833" width="3.7109375" customWidth="1"/>
    <col min="3834" max="3834" width="11.5703125" customWidth="1"/>
    <col min="3836" max="3836" width="6.85546875" customWidth="1"/>
    <col min="3837" max="3837" width="61.7109375" customWidth="1"/>
    <col min="3838" max="3838" width="5.85546875" customWidth="1"/>
    <col min="3839" max="3839" width="3.7109375" customWidth="1"/>
    <col min="3840" max="3840" width="13" customWidth="1"/>
    <col min="3841" max="3841" width="3.7109375" customWidth="1"/>
    <col min="3842" max="3843" width="0" hidden="1" customWidth="1"/>
    <col min="3844" max="3844" width="11.28515625" customWidth="1"/>
    <col min="3845" max="3845" width="10.5703125" bestFit="1" customWidth="1"/>
    <col min="3846" max="3846" width="10.140625" customWidth="1"/>
    <col min="3847" max="3847" width="0.140625" customWidth="1"/>
    <col min="3848" max="3848" width="10.5703125" bestFit="1" customWidth="1"/>
    <col min="4084" max="4084" width="65.7109375" customWidth="1"/>
    <col min="4085" max="4085" width="4.85546875" customWidth="1"/>
    <col min="4086" max="4087" width="3.7109375" customWidth="1"/>
    <col min="4088" max="4088" width="11.42578125" customWidth="1"/>
    <col min="4089" max="4089" width="3.7109375" customWidth="1"/>
    <col min="4090" max="4090" width="11.5703125" customWidth="1"/>
    <col min="4092" max="4092" width="6.85546875" customWidth="1"/>
    <col min="4093" max="4093" width="61.7109375" customWidth="1"/>
    <col min="4094" max="4094" width="5.85546875" customWidth="1"/>
    <col min="4095" max="4095" width="3.7109375" customWidth="1"/>
    <col min="4096" max="4096" width="13" customWidth="1"/>
    <col min="4097" max="4097" width="3.7109375" customWidth="1"/>
    <col min="4098" max="4099" width="0" hidden="1" customWidth="1"/>
    <col min="4100" max="4100" width="11.28515625" customWidth="1"/>
    <col min="4101" max="4101" width="10.5703125" bestFit="1" customWidth="1"/>
    <col min="4102" max="4102" width="10.140625" customWidth="1"/>
    <col min="4103" max="4103" width="0.140625" customWidth="1"/>
    <col min="4104" max="4104" width="10.5703125" bestFit="1" customWidth="1"/>
    <col min="4340" max="4340" width="65.7109375" customWidth="1"/>
    <col min="4341" max="4341" width="4.85546875" customWidth="1"/>
    <col min="4342" max="4343" width="3.7109375" customWidth="1"/>
    <col min="4344" max="4344" width="11.42578125" customWidth="1"/>
    <col min="4345" max="4345" width="3.7109375" customWidth="1"/>
    <col min="4346" max="4346" width="11.5703125" customWidth="1"/>
    <col min="4348" max="4348" width="6.85546875" customWidth="1"/>
    <col min="4349" max="4349" width="61.7109375" customWidth="1"/>
    <col min="4350" max="4350" width="5.85546875" customWidth="1"/>
    <col min="4351" max="4351" width="3.7109375" customWidth="1"/>
    <col min="4352" max="4352" width="13" customWidth="1"/>
    <col min="4353" max="4353" width="3.7109375" customWidth="1"/>
    <col min="4354" max="4355" width="0" hidden="1" customWidth="1"/>
    <col min="4356" max="4356" width="11.28515625" customWidth="1"/>
    <col min="4357" max="4357" width="10.5703125" bestFit="1" customWidth="1"/>
    <col min="4358" max="4358" width="10.140625" customWidth="1"/>
    <col min="4359" max="4359" width="0.140625" customWidth="1"/>
    <col min="4360" max="4360" width="10.5703125" bestFit="1" customWidth="1"/>
    <col min="4596" max="4596" width="65.7109375" customWidth="1"/>
    <col min="4597" max="4597" width="4.85546875" customWidth="1"/>
    <col min="4598" max="4599" width="3.7109375" customWidth="1"/>
    <col min="4600" max="4600" width="11.42578125" customWidth="1"/>
    <col min="4601" max="4601" width="3.7109375" customWidth="1"/>
    <col min="4602" max="4602" width="11.5703125" customWidth="1"/>
    <col min="4604" max="4604" width="6.85546875" customWidth="1"/>
    <col min="4605" max="4605" width="61.7109375" customWidth="1"/>
    <col min="4606" max="4606" width="5.85546875" customWidth="1"/>
    <col min="4607" max="4607" width="3.7109375" customWidth="1"/>
    <col min="4608" max="4608" width="13" customWidth="1"/>
    <col min="4609" max="4609" width="3.7109375" customWidth="1"/>
    <col min="4610" max="4611" width="0" hidden="1" customWidth="1"/>
    <col min="4612" max="4612" width="11.28515625" customWidth="1"/>
    <col min="4613" max="4613" width="10.5703125" bestFit="1" customWidth="1"/>
    <col min="4614" max="4614" width="10.140625" customWidth="1"/>
    <col min="4615" max="4615" width="0.140625" customWidth="1"/>
    <col min="4616" max="4616" width="10.5703125" bestFit="1" customWidth="1"/>
    <col min="4852" max="4852" width="65.7109375" customWidth="1"/>
    <col min="4853" max="4853" width="4.85546875" customWidth="1"/>
    <col min="4854" max="4855" width="3.7109375" customWidth="1"/>
    <col min="4856" max="4856" width="11.42578125" customWidth="1"/>
    <col min="4857" max="4857" width="3.7109375" customWidth="1"/>
    <col min="4858" max="4858" width="11.5703125" customWidth="1"/>
    <col min="4860" max="4860" width="6.85546875" customWidth="1"/>
    <col min="4861" max="4861" width="61.7109375" customWidth="1"/>
    <col min="4862" max="4862" width="5.85546875" customWidth="1"/>
    <col min="4863" max="4863" width="3.7109375" customWidth="1"/>
    <col min="4864" max="4864" width="13" customWidth="1"/>
    <col min="4865" max="4865" width="3.7109375" customWidth="1"/>
    <col min="4866" max="4867" width="0" hidden="1" customWidth="1"/>
    <col min="4868" max="4868" width="11.28515625" customWidth="1"/>
    <col min="4869" max="4869" width="10.5703125" bestFit="1" customWidth="1"/>
    <col min="4870" max="4870" width="10.140625" customWidth="1"/>
    <col min="4871" max="4871" width="0.140625" customWidth="1"/>
    <col min="4872" max="4872" width="10.5703125" bestFit="1" customWidth="1"/>
    <col min="5108" max="5108" width="65.7109375" customWidth="1"/>
    <col min="5109" max="5109" width="4.85546875" customWidth="1"/>
    <col min="5110" max="5111" width="3.7109375" customWidth="1"/>
    <col min="5112" max="5112" width="11.42578125" customWidth="1"/>
    <col min="5113" max="5113" width="3.7109375" customWidth="1"/>
    <col min="5114" max="5114" width="11.5703125" customWidth="1"/>
    <col min="5116" max="5116" width="6.85546875" customWidth="1"/>
    <col min="5117" max="5117" width="61.7109375" customWidth="1"/>
    <col min="5118" max="5118" width="5.85546875" customWidth="1"/>
    <col min="5119" max="5119" width="3.7109375" customWidth="1"/>
    <col min="5120" max="5120" width="13" customWidth="1"/>
    <col min="5121" max="5121" width="3.7109375" customWidth="1"/>
    <col min="5122" max="5123" width="0" hidden="1" customWidth="1"/>
    <col min="5124" max="5124" width="11.28515625" customWidth="1"/>
    <col min="5125" max="5125" width="10.5703125" bestFit="1" customWidth="1"/>
    <col min="5126" max="5126" width="10.140625" customWidth="1"/>
    <col min="5127" max="5127" width="0.140625" customWidth="1"/>
    <col min="5128" max="5128" width="10.5703125" bestFit="1" customWidth="1"/>
    <col min="5364" max="5364" width="65.7109375" customWidth="1"/>
    <col min="5365" max="5365" width="4.85546875" customWidth="1"/>
    <col min="5366" max="5367" width="3.7109375" customWidth="1"/>
    <col min="5368" max="5368" width="11.42578125" customWidth="1"/>
    <col min="5369" max="5369" width="3.7109375" customWidth="1"/>
    <col min="5370" max="5370" width="11.5703125" customWidth="1"/>
    <col min="5372" max="5372" width="6.85546875" customWidth="1"/>
    <col min="5373" max="5373" width="61.7109375" customWidth="1"/>
    <col min="5374" max="5374" width="5.85546875" customWidth="1"/>
    <col min="5375" max="5375" width="3.7109375" customWidth="1"/>
    <col min="5376" max="5376" width="13" customWidth="1"/>
    <col min="5377" max="5377" width="3.7109375" customWidth="1"/>
    <col min="5378" max="5379" width="0" hidden="1" customWidth="1"/>
    <col min="5380" max="5380" width="11.28515625" customWidth="1"/>
    <col min="5381" max="5381" width="10.5703125" bestFit="1" customWidth="1"/>
    <col min="5382" max="5382" width="10.140625" customWidth="1"/>
    <col min="5383" max="5383" width="0.140625" customWidth="1"/>
    <col min="5384" max="5384" width="10.5703125" bestFit="1" customWidth="1"/>
    <col min="5620" max="5620" width="65.7109375" customWidth="1"/>
    <col min="5621" max="5621" width="4.85546875" customWidth="1"/>
    <col min="5622" max="5623" width="3.7109375" customWidth="1"/>
    <col min="5624" max="5624" width="11.42578125" customWidth="1"/>
    <col min="5625" max="5625" width="3.7109375" customWidth="1"/>
    <col min="5626" max="5626" width="11.5703125" customWidth="1"/>
    <col min="5628" max="5628" width="6.85546875" customWidth="1"/>
    <col min="5629" max="5629" width="61.7109375" customWidth="1"/>
    <col min="5630" max="5630" width="5.85546875" customWidth="1"/>
    <col min="5631" max="5631" width="3.7109375" customWidth="1"/>
    <col min="5632" max="5632" width="13" customWidth="1"/>
    <col min="5633" max="5633" width="3.7109375" customWidth="1"/>
    <col min="5634" max="5635" width="0" hidden="1" customWidth="1"/>
    <col min="5636" max="5636" width="11.28515625" customWidth="1"/>
    <col min="5637" max="5637" width="10.5703125" bestFit="1" customWidth="1"/>
    <col min="5638" max="5638" width="10.140625" customWidth="1"/>
    <col min="5639" max="5639" width="0.140625" customWidth="1"/>
    <col min="5640" max="5640" width="10.5703125" bestFit="1" customWidth="1"/>
    <col min="5876" max="5876" width="65.7109375" customWidth="1"/>
    <col min="5877" max="5877" width="4.85546875" customWidth="1"/>
    <col min="5878" max="5879" width="3.7109375" customWidth="1"/>
    <col min="5880" max="5880" width="11.42578125" customWidth="1"/>
    <col min="5881" max="5881" width="3.7109375" customWidth="1"/>
    <col min="5882" max="5882" width="11.5703125" customWidth="1"/>
    <col min="5884" max="5884" width="6.85546875" customWidth="1"/>
    <col min="5885" max="5885" width="61.7109375" customWidth="1"/>
    <col min="5886" max="5886" width="5.85546875" customWidth="1"/>
    <col min="5887" max="5887" width="3.7109375" customWidth="1"/>
    <col min="5888" max="5888" width="13" customWidth="1"/>
    <col min="5889" max="5889" width="3.7109375" customWidth="1"/>
    <col min="5890" max="5891" width="0" hidden="1" customWidth="1"/>
    <col min="5892" max="5892" width="11.28515625" customWidth="1"/>
    <col min="5893" max="5893" width="10.5703125" bestFit="1" customWidth="1"/>
    <col min="5894" max="5894" width="10.140625" customWidth="1"/>
    <col min="5895" max="5895" width="0.140625" customWidth="1"/>
    <col min="5896" max="5896" width="10.5703125" bestFit="1" customWidth="1"/>
    <col min="6132" max="6132" width="65.7109375" customWidth="1"/>
    <col min="6133" max="6133" width="4.85546875" customWidth="1"/>
    <col min="6134" max="6135" width="3.7109375" customWidth="1"/>
    <col min="6136" max="6136" width="11.42578125" customWidth="1"/>
    <col min="6137" max="6137" width="3.7109375" customWidth="1"/>
    <col min="6138" max="6138" width="11.5703125" customWidth="1"/>
    <col min="6140" max="6140" width="6.85546875" customWidth="1"/>
    <col min="6141" max="6141" width="61.7109375" customWidth="1"/>
    <col min="6142" max="6142" width="5.85546875" customWidth="1"/>
    <col min="6143" max="6143" width="3.7109375" customWidth="1"/>
    <col min="6144" max="6144" width="13" customWidth="1"/>
    <col min="6145" max="6145" width="3.7109375" customWidth="1"/>
    <col min="6146" max="6147" width="0" hidden="1" customWidth="1"/>
    <col min="6148" max="6148" width="11.28515625" customWidth="1"/>
    <col min="6149" max="6149" width="10.5703125" bestFit="1" customWidth="1"/>
    <col min="6150" max="6150" width="10.140625" customWidth="1"/>
    <col min="6151" max="6151" width="0.140625" customWidth="1"/>
    <col min="6152" max="6152" width="10.5703125" bestFit="1" customWidth="1"/>
    <col min="6388" max="6388" width="65.7109375" customWidth="1"/>
    <col min="6389" max="6389" width="4.85546875" customWidth="1"/>
    <col min="6390" max="6391" width="3.7109375" customWidth="1"/>
    <col min="6392" max="6392" width="11.42578125" customWidth="1"/>
    <col min="6393" max="6393" width="3.7109375" customWidth="1"/>
    <col min="6394" max="6394" width="11.5703125" customWidth="1"/>
    <col min="6396" max="6396" width="6.85546875" customWidth="1"/>
    <col min="6397" max="6397" width="61.7109375" customWidth="1"/>
    <col min="6398" max="6398" width="5.85546875" customWidth="1"/>
    <col min="6399" max="6399" width="3.7109375" customWidth="1"/>
    <col min="6400" max="6400" width="13" customWidth="1"/>
    <col min="6401" max="6401" width="3.7109375" customWidth="1"/>
    <col min="6402" max="6403" width="0" hidden="1" customWidth="1"/>
    <col min="6404" max="6404" width="11.28515625" customWidth="1"/>
    <col min="6405" max="6405" width="10.5703125" bestFit="1" customWidth="1"/>
    <col min="6406" max="6406" width="10.140625" customWidth="1"/>
    <col min="6407" max="6407" width="0.140625" customWidth="1"/>
    <col min="6408" max="6408" width="10.5703125" bestFit="1" customWidth="1"/>
    <col min="6644" max="6644" width="65.7109375" customWidth="1"/>
    <col min="6645" max="6645" width="4.85546875" customWidth="1"/>
    <col min="6646" max="6647" width="3.7109375" customWidth="1"/>
    <col min="6648" max="6648" width="11.42578125" customWidth="1"/>
    <col min="6649" max="6649" width="3.7109375" customWidth="1"/>
    <col min="6650" max="6650" width="11.5703125" customWidth="1"/>
    <col min="6652" max="6652" width="6.85546875" customWidth="1"/>
    <col min="6653" max="6653" width="61.7109375" customWidth="1"/>
    <col min="6654" max="6654" width="5.85546875" customWidth="1"/>
    <col min="6655" max="6655" width="3.7109375" customWidth="1"/>
    <col min="6656" max="6656" width="13" customWidth="1"/>
    <col min="6657" max="6657" width="3.7109375" customWidth="1"/>
    <col min="6658" max="6659" width="0" hidden="1" customWidth="1"/>
    <col min="6660" max="6660" width="11.28515625" customWidth="1"/>
    <col min="6661" max="6661" width="10.5703125" bestFit="1" customWidth="1"/>
    <col min="6662" max="6662" width="10.140625" customWidth="1"/>
    <col min="6663" max="6663" width="0.140625" customWidth="1"/>
    <col min="6664" max="6664" width="10.5703125" bestFit="1" customWidth="1"/>
    <col min="6900" max="6900" width="65.7109375" customWidth="1"/>
    <col min="6901" max="6901" width="4.85546875" customWidth="1"/>
    <col min="6902" max="6903" width="3.7109375" customWidth="1"/>
    <col min="6904" max="6904" width="11.42578125" customWidth="1"/>
    <col min="6905" max="6905" width="3.7109375" customWidth="1"/>
    <col min="6906" max="6906" width="11.5703125" customWidth="1"/>
    <col min="6908" max="6908" width="6.85546875" customWidth="1"/>
    <col min="6909" max="6909" width="61.7109375" customWidth="1"/>
    <col min="6910" max="6910" width="5.85546875" customWidth="1"/>
    <col min="6911" max="6911" width="3.7109375" customWidth="1"/>
    <col min="6912" max="6912" width="13" customWidth="1"/>
    <col min="6913" max="6913" width="3.7109375" customWidth="1"/>
    <col min="6914" max="6915" width="0" hidden="1" customWidth="1"/>
    <col min="6916" max="6916" width="11.28515625" customWidth="1"/>
    <col min="6917" max="6917" width="10.5703125" bestFit="1" customWidth="1"/>
    <col min="6918" max="6918" width="10.140625" customWidth="1"/>
    <col min="6919" max="6919" width="0.140625" customWidth="1"/>
    <col min="6920" max="6920" width="10.5703125" bestFit="1" customWidth="1"/>
    <col min="7156" max="7156" width="65.7109375" customWidth="1"/>
    <col min="7157" max="7157" width="4.85546875" customWidth="1"/>
    <col min="7158" max="7159" width="3.7109375" customWidth="1"/>
    <col min="7160" max="7160" width="11.42578125" customWidth="1"/>
    <col min="7161" max="7161" width="3.7109375" customWidth="1"/>
    <col min="7162" max="7162" width="11.5703125" customWidth="1"/>
    <col min="7164" max="7164" width="6.85546875" customWidth="1"/>
    <col min="7165" max="7165" width="61.7109375" customWidth="1"/>
    <col min="7166" max="7166" width="5.85546875" customWidth="1"/>
    <col min="7167" max="7167" width="3.7109375" customWidth="1"/>
    <col min="7168" max="7168" width="13" customWidth="1"/>
    <col min="7169" max="7169" width="3.7109375" customWidth="1"/>
    <col min="7170" max="7171" width="0" hidden="1" customWidth="1"/>
    <col min="7172" max="7172" width="11.28515625" customWidth="1"/>
    <col min="7173" max="7173" width="10.5703125" bestFit="1" customWidth="1"/>
    <col min="7174" max="7174" width="10.140625" customWidth="1"/>
    <col min="7175" max="7175" width="0.140625" customWidth="1"/>
    <col min="7176" max="7176" width="10.5703125" bestFit="1" customWidth="1"/>
    <col min="7412" max="7412" width="65.7109375" customWidth="1"/>
    <col min="7413" max="7413" width="4.85546875" customWidth="1"/>
    <col min="7414" max="7415" width="3.7109375" customWidth="1"/>
    <col min="7416" max="7416" width="11.42578125" customWidth="1"/>
    <col min="7417" max="7417" width="3.7109375" customWidth="1"/>
    <col min="7418" max="7418" width="11.5703125" customWidth="1"/>
    <col min="7420" max="7420" width="6.85546875" customWidth="1"/>
    <col min="7421" max="7421" width="61.7109375" customWidth="1"/>
    <col min="7422" max="7422" width="5.85546875" customWidth="1"/>
    <col min="7423" max="7423" width="3.7109375" customWidth="1"/>
    <col min="7424" max="7424" width="13" customWidth="1"/>
    <col min="7425" max="7425" width="3.7109375" customWidth="1"/>
    <col min="7426" max="7427" width="0" hidden="1" customWidth="1"/>
    <col min="7428" max="7428" width="11.28515625" customWidth="1"/>
    <col min="7429" max="7429" width="10.5703125" bestFit="1" customWidth="1"/>
    <col min="7430" max="7430" width="10.140625" customWidth="1"/>
    <col min="7431" max="7431" width="0.140625" customWidth="1"/>
    <col min="7432" max="7432" width="10.5703125" bestFit="1" customWidth="1"/>
    <col min="7668" max="7668" width="65.7109375" customWidth="1"/>
    <col min="7669" max="7669" width="4.85546875" customWidth="1"/>
    <col min="7670" max="7671" width="3.7109375" customWidth="1"/>
    <col min="7672" max="7672" width="11.42578125" customWidth="1"/>
    <col min="7673" max="7673" width="3.7109375" customWidth="1"/>
    <col min="7674" max="7674" width="11.5703125" customWidth="1"/>
    <col min="7676" max="7676" width="6.85546875" customWidth="1"/>
    <col min="7677" max="7677" width="61.7109375" customWidth="1"/>
    <col min="7678" max="7678" width="5.85546875" customWidth="1"/>
    <col min="7679" max="7679" width="3.7109375" customWidth="1"/>
    <col min="7680" max="7680" width="13" customWidth="1"/>
    <col min="7681" max="7681" width="3.7109375" customWidth="1"/>
    <col min="7682" max="7683" width="0" hidden="1" customWidth="1"/>
    <col min="7684" max="7684" width="11.28515625" customWidth="1"/>
    <col min="7685" max="7685" width="10.5703125" bestFit="1" customWidth="1"/>
    <col min="7686" max="7686" width="10.140625" customWidth="1"/>
    <col min="7687" max="7687" width="0.140625" customWidth="1"/>
    <col min="7688" max="7688" width="10.5703125" bestFit="1" customWidth="1"/>
    <col min="7924" max="7924" width="65.7109375" customWidth="1"/>
    <col min="7925" max="7925" width="4.85546875" customWidth="1"/>
    <col min="7926" max="7927" width="3.7109375" customWidth="1"/>
    <col min="7928" max="7928" width="11.42578125" customWidth="1"/>
    <col min="7929" max="7929" width="3.7109375" customWidth="1"/>
    <col min="7930" max="7930" width="11.5703125" customWidth="1"/>
    <col min="7932" max="7932" width="6.85546875" customWidth="1"/>
    <col min="7933" max="7933" width="61.7109375" customWidth="1"/>
    <col min="7934" max="7934" width="5.85546875" customWidth="1"/>
    <col min="7935" max="7935" width="3.7109375" customWidth="1"/>
    <col min="7936" max="7936" width="13" customWidth="1"/>
    <col min="7937" max="7937" width="3.7109375" customWidth="1"/>
    <col min="7938" max="7939" width="0" hidden="1" customWidth="1"/>
    <col min="7940" max="7940" width="11.28515625" customWidth="1"/>
    <col min="7941" max="7941" width="10.5703125" bestFit="1" customWidth="1"/>
    <col min="7942" max="7942" width="10.140625" customWidth="1"/>
    <col min="7943" max="7943" width="0.140625" customWidth="1"/>
    <col min="7944" max="7944" width="10.5703125" bestFit="1" customWidth="1"/>
    <col min="8180" max="8180" width="65.7109375" customWidth="1"/>
    <col min="8181" max="8181" width="4.85546875" customWidth="1"/>
    <col min="8182" max="8183" width="3.7109375" customWidth="1"/>
    <col min="8184" max="8184" width="11.42578125" customWidth="1"/>
    <col min="8185" max="8185" width="3.7109375" customWidth="1"/>
    <col min="8186" max="8186" width="11.5703125" customWidth="1"/>
    <col min="8188" max="8188" width="6.85546875" customWidth="1"/>
    <col min="8189" max="8189" width="61.7109375" customWidth="1"/>
    <col min="8190" max="8190" width="5.85546875" customWidth="1"/>
    <col min="8191" max="8191" width="3.7109375" customWidth="1"/>
    <col min="8192" max="8192" width="13" customWidth="1"/>
    <col min="8193" max="8193" width="3.7109375" customWidth="1"/>
    <col min="8194" max="8195" width="0" hidden="1" customWidth="1"/>
    <col min="8196" max="8196" width="11.28515625" customWidth="1"/>
    <col min="8197" max="8197" width="10.5703125" bestFit="1" customWidth="1"/>
    <col min="8198" max="8198" width="10.140625" customWidth="1"/>
    <col min="8199" max="8199" width="0.140625" customWidth="1"/>
    <col min="8200" max="8200" width="10.5703125" bestFit="1" customWidth="1"/>
    <col min="8436" max="8436" width="65.7109375" customWidth="1"/>
    <col min="8437" max="8437" width="4.85546875" customWidth="1"/>
    <col min="8438" max="8439" width="3.7109375" customWidth="1"/>
    <col min="8440" max="8440" width="11.42578125" customWidth="1"/>
    <col min="8441" max="8441" width="3.7109375" customWidth="1"/>
    <col min="8442" max="8442" width="11.5703125" customWidth="1"/>
    <col min="8444" max="8444" width="6.85546875" customWidth="1"/>
    <col min="8445" max="8445" width="61.7109375" customWidth="1"/>
    <col min="8446" max="8446" width="5.85546875" customWidth="1"/>
    <col min="8447" max="8447" width="3.7109375" customWidth="1"/>
    <col min="8448" max="8448" width="13" customWidth="1"/>
    <col min="8449" max="8449" width="3.7109375" customWidth="1"/>
    <col min="8450" max="8451" width="0" hidden="1" customWidth="1"/>
    <col min="8452" max="8452" width="11.28515625" customWidth="1"/>
    <col min="8453" max="8453" width="10.5703125" bestFit="1" customWidth="1"/>
    <col min="8454" max="8454" width="10.140625" customWidth="1"/>
    <col min="8455" max="8455" width="0.140625" customWidth="1"/>
    <col min="8456" max="8456" width="10.5703125" bestFit="1" customWidth="1"/>
    <col min="8692" max="8692" width="65.7109375" customWidth="1"/>
    <col min="8693" max="8693" width="4.85546875" customWidth="1"/>
    <col min="8694" max="8695" width="3.7109375" customWidth="1"/>
    <col min="8696" max="8696" width="11.42578125" customWidth="1"/>
    <col min="8697" max="8697" width="3.7109375" customWidth="1"/>
    <col min="8698" max="8698" width="11.5703125" customWidth="1"/>
    <col min="8700" max="8700" width="6.85546875" customWidth="1"/>
    <col min="8701" max="8701" width="61.7109375" customWidth="1"/>
    <col min="8702" max="8702" width="5.85546875" customWidth="1"/>
    <col min="8703" max="8703" width="3.7109375" customWidth="1"/>
    <col min="8704" max="8704" width="13" customWidth="1"/>
    <col min="8705" max="8705" width="3.7109375" customWidth="1"/>
    <col min="8706" max="8707" width="0" hidden="1" customWidth="1"/>
    <col min="8708" max="8708" width="11.28515625" customWidth="1"/>
    <col min="8709" max="8709" width="10.5703125" bestFit="1" customWidth="1"/>
    <col min="8710" max="8710" width="10.140625" customWidth="1"/>
    <col min="8711" max="8711" width="0.140625" customWidth="1"/>
    <col min="8712" max="8712" width="10.5703125" bestFit="1" customWidth="1"/>
    <col min="8948" max="8948" width="65.7109375" customWidth="1"/>
    <col min="8949" max="8949" width="4.85546875" customWidth="1"/>
    <col min="8950" max="8951" width="3.7109375" customWidth="1"/>
    <col min="8952" max="8952" width="11.42578125" customWidth="1"/>
    <col min="8953" max="8953" width="3.7109375" customWidth="1"/>
    <col min="8954" max="8954" width="11.5703125" customWidth="1"/>
    <col min="8956" max="8956" width="6.85546875" customWidth="1"/>
    <col min="8957" max="8957" width="61.7109375" customWidth="1"/>
    <col min="8958" max="8958" width="5.85546875" customWidth="1"/>
    <col min="8959" max="8959" width="3.7109375" customWidth="1"/>
    <col min="8960" max="8960" width="13" customWidth="1"/>
    <col min="8961" max="8961" width="3.7109375" customWidth="1"/>
    <col min="8962" max="8963" width="0" hidden="1" customWidth="1"/>
    <col min="8964" max="8964" width="11.28515625" customWidth="1"/>
    <col min="8965" max="8965" width="10.5703125" bestFit="1" customWidth="1"/>
    <col min="8966" max="8966" width="10.140625" customWidth="1"/>
    <col min="8967" max="8967" width="0.140625" customWidth="1"/>
    <col min="8968" max="8968" width="10.5703125" bestFit="1" customWidth="1"/>
    <col min="9204" max="9204" width="65.7109375" customWidth="1"/>
    <col min="9205" max="9205" width="4.85546875" customWidth="1"/>
    <col min="9206" max="9207" width="3.7109375" customWidth="1"/>
    <col min="9208" max="9208" width="11.42578125" customWidth="1"/>
    <col min="9209" max="9209" width="3.7109375" customWidth="1"/>
    <col min="9210" max="9210" width="11.5703125" customWidth="1"/>
    <col min="9212" max="9212" width="6.85546875" customWidth="1"/>
    <col min="9213" max="9213" width="61.7109375" customWidth="1"/>
    <col min="9214" max="9214" width="5.85546875" customWidth="1"/>
    <col min="9215" max="9215" width="3.7109375" customWidth="1"/>
    <col min="9216" max="9216" width="13" customWidth="1"/>
    <col min="9217" max="9217" width="3.7109375" customWidth="1"/>
    <col min="9218" max="9219" width="0" hidden="1" customWidth="1"/>
    <col min="9220" max="9220" width="11.28515625" customWidth="1"/>
    <col min="9221" max="9221" width="10.5703125" bestFit="1" customWidth="1"/>
    <col min="9222" max="9222" width="10.140625" customWidth="1"/>
    <col min="9223" max="9223" width="0.140625" customWidth="1"/>
    <col min="9224" max="9224" width="10.5703125" bestFit="1" customWidth="1"/>
    <col min="9460" max="9460" width="65.7109375" customWidth="1"/>
    <col min="9461" max="9461" width="4.85546875" customWidth="1"/>
    <col min="9462" max="9463" width="3.7109375" customWidth="1"/>
    <col min="9464" max="9464" width="11.42578125" customWidth="1"/>
    <col min="9465" max="9465" width="3.7109375" customWidth="1"/>
    <col min="9466" max="9466" width="11.5703125" customWidth="1"/>
    <col min="9468" max="9468" width="6.85546875" customWidth="1"/>
    <col min="9469" max="9469" width="61.7109375" customWidth="1"/>
    <col min="9470" max="9470" width="5.85546875" customWidth="1"/>
    <col min="9471" max="9471" width="3.7109375" customWidth="1"/>
    <col min="9472" max="9472" width="13" customWidth="1"/>
    <col min="9473" max="9473" width="3.7109375" customWidth="1"/>
    <col min="9474" max="9475" width="0" hidden="1" customWidth="1"/>
    <col min="9476" max="9476" width="11.28515625" customWidth="1"/>
    <col min="9477" max="9477" width="10.5703125" bestFit="1" customWidth="1"/>
    <col min="9478" max="9478" width="10.140625" customWidth="1"/>
    <col min="9479" max="9479" width="0.140625" customWidth="1"/>
    <col min="9480" max="9480" width="10.5703125" bestFit="1" customWidth="1"/>
    <col min="9716" max="9716" width="65.7109375" customWidth="1"/>
    <col min="9717" max="9717" width="4.85546875" customWidth="1"/>
    <col min="9718" max="9719" width="3.7109375" customWidth="1"/>
    <col min="9720" max="9720" width="11.42578125" customWidth="1"/>
    <col min="9721" max="9721" width="3.7109375" customWidth="1"/>
    <col min="9722" max="9722" width="11.5703125" customWidth="1"/>
    <col min="9724" max="9724" width="6.85546875" customWidth="1"/>
    <col min="9725" max="9725" width="61.7109375" customWidth="1"/>
    <col min="9726" max="9726" width="5.85546875" customWidth="1"/>
    <col min="9727" max="9727" width="3.7109375" customWidth="1"/>
    <col min="9728" max="9728" width="13" customWidth="1"/>
    <col min="9729" max="9729" width="3.7109375" customWidth="1"/>
    <col min="9730" max="9731" width="0" hidden="1" customWidth="1"/>
    <col min="9732" max="9732" width="11.28515625" customWidth="1"/>
    <col min="9733" max="9733" width="10.5703125" bestFit="1" customWidth="1"/>
    <col min="9734" max="9734" width="10.140625" customWidth="1"/>
    <col min="9735" max="9735" width="0.140625" customWidth="1"/>
    <col min="9736" max="9736" width="10.5703125" bestFit="1" customWidth="1"/>
    <col min="9972" max="9972" width="65.7109375" customWidth="1"/>
    <col min="9973" max="9973" width="4.85546875" customWidth="1"/>
    <col min="9974" max="9975" width="3.7109375" customWidth="1"/>
    <col min="9976" max="9976" width="11.42578125" customWidth="1"/>
    <col min="9977" max="9977" width="3.7109375" customWidth="1"/>
    <col min="9978" max="9978" width="11.5703125" customWidth="1"/>
    <col min="9980" max="9980" width="6.85546875" customWidth="1"/>
    <col min="9981" max="9981" width="61.7109375" customWidth="1"/>
    <col min="9982" max="9982" width="5.85546875" customWidth="1"/>
    <col min="9983" max="9983" width="3.7109375" customWidth="1"/>
    <col min="9984" max="9984" width="13" customWidth="1"/>
    <col min="9985" max="9985" width="3.7109375" customWidth="1"/>
    <col min="9986" max="9987" width="0" hidden="1" customWidth="1"/>
    <col min="9988" max="9988" width="11.28515625" customWidth="1"/>
    <col min="9989" max="9989" width="10.5703125" bestFit="1" customWidth="1"/>
    <col min="9990" max="9990" width="10.140625" customWidth="1"/>
    <col min="9991" max="9991" width="0.140625" customWidth="1"/>
    <col min="9992" max="9992" width="10.5703125" bestFit="1" customWidth="1"/>
    <col min="10228" max="10228" width="65.7109375" customWidth="1"/>
    <col min="10229" max="10229" width="4.85546875" customWidth="1"/>
    <col min="10230" max="10231" width="3.7109375" customWidth="1"/>
    <col min="10232" max="10232" width="11.42578125" customWidth="1"/>
    <col min="10233" max="10233" width="3.7109375" customWidth="1"/>
    <col min="10234" max="10234" width="11.5703125" customWidth="1"/>
    <col min="10236" max="10236" width="6.85546875" customWidth="1"/>
    <col min="10237" max="10237" width="61.7109375" customWidth="1"/>
    <col min="10238" max="10238" width="5.85546875" customWidth="1"/>
    <col min="10239" max="10239" width="3.7109375" customWidth="1"/>
    <col min="10240" max="10240" width="13" customWidth="1"/>
    <col min="10241" max="10241" width="3.7109375" customWidth="1"/>
    <col min="10242" max="10243" width="0" hidden="1" customWidth="1"/>
    <col min="10244" max="10244" width="11.28515625" customWidth="1"/>
    <col min="10245" max="10245" width="10.5703125" bestFit="1" customWidth="1"/>
    <col min="10246" max="10246" width="10.140625" customWidth="1"/>
    <col min="10247" max="10247" width="0.140625" customWidth="1"/>
    <col min="10248" max="10248" width="10.5703125" bestFit="1" customWidth="1"/>
    <col min="10484" max="10484" width="65.7109375" customWidth="1"/>
    <col min="10485" max="10485" width="4.85546875" customWidth="1"/>
    <col min="10486" max="10487" width="3.7109375" customWidth="1"/>
    <col min="10488" max="10488" width="11.42578125" customWidth="1"/>
    <col min="10489" max="10489" width="3.7109375" customWidth="1"/>
    <col min="10490" max="10490" width="11.5703125" customWidth="1"/>
    <col min="10492" max="10492" width="6.85546875" customWidth="1"/>
    <col min="10493" max="10493" width="61.7109375" customWidth="1"/>
    <col min="10494" max="10494" width="5.85546875" customWidth="1"/>
    <col min="10495" max="10495" width="3.7109375" customWidth="1"/>
    <col min="10496" max="10496" width="13" customWidth="1"/>
    <col min="10497" max="10497" width="3.7109375" customWidth="1"/>
    <col min="10498" max="10499" width="0" hidden="1" customWidth="1"/>
    <col min="10500" max="10500" width="11.28515625" customWidth="1"/>
    <col min="10501" max="10501" width="10.5703125" bestFit="1" customWidth="1"/>
    <col min="10502" max="10502" width="10.140625" customWidth="1"/>
    <col min="10503" max="10503" width="0.140625" customWidth="1"/>
    <col min="10504" max="10504" width="10.5703125" bestFit="1" customWidth="1"/>
    <col min="10740" max="10740" width="65.7109375" customWidth="1"/>
    <col min="10741" max="10741" width="4.85546875" customWidth="1"/>
    <col min="10742" max="10743" width="3.7109375" customWidth="1"/>
    <col min="10744" max="10744" width="11.42578125" customWidth="1"/>
    <col min="10745" max="10745" width="3.7109375" customWidth="1"/>
    <col min="10746" max="10746" width="11.5703125" customWidth="1"/>
    <col min="10748" max="10748" width="6.85546875" customWidth="1"/>
    <col min="10749" max="10749" width="61.7109375" customWidth="1"/>
    <col min="10750" max="10750" width="5.85546875" customWidth="1"/>
    <col min="10751" max="10751" width="3.7109375" customWidth="1"/>
    <col min="10752" max="10752" width="13" customWidth="1"/>
    <col min="10753" max="10753" width="3.7109375" customWidth="1"/>
    <col min="10754" max="10755" width="0" hidden="1" customWidth="1"/>
    <col min="10756" max="10756" width="11.28515625" customWidth="1"/>
    <col min="10757" max="10757" width="10.5703125" bestFit="1" customWidth="1"/>
    <col min="10758" max="10758" width="10.140625" customWidth="1"/>
    <col min="10759" max="10759" width="0.140625" customWidth="1"/>
    <col min="10760" max="10760" width="10.5703125" bestFit="1" customWidth="1"/>
    <col min="10996" max="10996" width="65.7109375" customWidth="1"/>
    <col min="10997" max="10997" width="4.85546875" customWidth="1"/>
    <col min="10998" max="10999" width="3.7109375" customWidth="1"/>
    <col min="11000" max="11000" width="11.42578125" customWidth="1"/>
    <col min="11001" max="11001" width="3.7109375" customWidth="1"/>
    <col min="11002" max="11002" width="11.5703125" customWidth="1"/>
    <col min="11004" max="11004" width="6.85546875" customWidth="1"/>
    <col min="11005" max="11005" width="61.7109375" customWidth="1"/>
    <col min="11006" max="11006" width="5.85546875" customWidth="1"/>
    <col min="11007" max="11007" width="3.7109375" customWidth="1"/>
    <col min="11008" max="11008" width="13" customWidth="1"/>
    <col min="11009" max="11009" width="3.7109375" customWidth="1"/>
    <col min="11010" max="11011" width="0" hidden="1" customWidth="1"/>
    <col min="11012" max="11012" width="11.28515625" customWidth="1"/>
    <col min="11013" max="11013" width="10.5703125" bestFit="1" customWidth="1"/>
    <col min="11014" max="11014" width="10.140625" customWidth="1"/>
    <col min="11015" max="11015" width="0.140625" customWidth="1"/>
    <col min="11016" max="11016" width="10.5703125" bestFit="1" customWidth="1"/>
    <col min="11252" max="11252" width="65.7109375" customWidth="1"/>
    <col min="11253" max="11253" width="4.85546875" customWidth="1"/>
    <col min="11254" max="11255" width="3.7109375" customWidth="1"/>
    <col min="11256" max="11256" width="11.42578125" customWidth="1"/>
    <col min="11257" max="11257" width="3.7109375" customWidth="1"/>
    <col min="11258" max="11258" width="11.5703125" customWidth="1"/>
    <col min="11260" max="11260" width="6.85546875" customWidth="1"/>
    <col min="11261" max="11261" width="61.7109375" customWidth="1"/>
    <col min="11262" max="11262" width="5.85546875" customWidth="1"/>
    <col min="11263" max="11263" width="3.7109375" customWidth="1"/>
    <col min="11264" max="11264" width="13" customWidth="1"/>
    <col min="11265" max="11265" width="3.7109375" customWidth="1"/>
    <col min="11266" max="11267" width="0" hidden="1" customWidth="1"/>
    <col min="11268" max="11268" width="11.28515625" customWidth="1"/>
    <col min="11269" max="11269" width="10.5703125" bestFit="1" customWidth="1"/>
    <col min="11270" max="11270" width="10.140625" customWidth="1"/>
    <col min="11271" max="11271" width="0.140625" customWidth="1"/>
    <col min="11272" max="11272" width="10.5703125" bestFit="1" customWidth="1"/>
    <col min="11508" max="11508" width="65.7109375" customWidth="1"/>
    <col min="11509" max="11509" width="4.85546875" customWidth="1"/>
    <col min="11510" max="11511" width="3.7109375" customWidth="1"/>
    <col min="11512" max="11512" width="11.42578125" customWidth="1"/>
    <col min="11513" max="11513" width="3.7109375" customWidth="1"/>
    <col min="11514" max="11514" width="11.5703125" customWidth="1"/>
    <col min="11516" max="11516" width="6.85546875" customWidth="1"/>
    <col min="11517" max="11517" width="61.7109375" customWidth="1"/>
    <col min="11518" max="11518" width="5.85546875" customWidth="1"/>
    <col min="11519" max="11519" width="3.7109375" customWidth="1"/>
    <col min="11520" max="11520" width="13" customWidth="1"/>
    <col min="11521" max="11521" width="3.7109375" customWidth="1"/>
    <col min="11522" max="11523" width="0" hidden="1" customWidth="1"/>
    <col min="11524" max="11524" width="11.28515625" customWidth="1"/>
    <col min="11525" max="11525" width="10.5703125" bestFit="1" customWidth="1"/>
    <col min="11526" max="11526" width="10.140625" customWidth="1"/>
    <col min="11527" max="11527" width="0.140625" customWidth="1"/>
    <col min="11528" max="11528" width="10.5703125" bestFit="1" customWidth="1"/>
    <col min="11764" max="11764" width="65.7109375" customWidth="1"/>
    <col min="11765" max="11765" width="4.85546875" customWidth="1"/>
    <col min="11766" max="11767" width="3.7109375" customWidth="1"/>
    <col min="11768" max="11768" width="11.42578125" customWidth="1"/>
    <col min="11769" max="11769" width="3.7109375" customWidth="1"/>
    <col min="11770" max="11770" width="11.5703125" customWidth="1"/>
    <col min="11772" max="11772" width="6.85546875" customWidth="1"/>
    <col min="11773" max="11773" width="61.7109375" customWidth="1"/>
    <col min="11774" max="11774" width="5.85546875" customWidth="1"/>
    <col min="11775" max="11775" width="3.7109375" customWidth="1"/>
    <col min="11776" max="11776" width="13" customWidth="1"/>
    <col min="11777" max="11777" width="3.7109375" customWidth="1"/>
    <col min="11778" max="11779" width="0" hidden="1" customWidth="1"/>
    <col min="11780" max="11780" width="11.28515625" customWidth="1"/>
    <col min="11781" max="11781" width="10.5703125" bestFit="1" customWidth="1"/>
    <col min="11782" max="11782" width="10.140625" customWidth="1"/>
    <col min="11783" max="11783" width="0.140625" customWidth="1"/>
    <col min="11784" max="11784" width="10.5703125" bestFit="1" customWidth="1"/>
    <col min="12020" max="12020" width="65.7109375" customWidth="1"/>
    <col min="12021" max="12021" width="4.85546875" customWidth="1"/>
    <col min="12022" max="12023" width="3.7109375" customWidth="1"/>
    <col min="12024" max="12024" width="11.42578125" customWidth="1"/>
    <col min="12025" max="12025" width="3.7109375" customWidth="1"/>
    <col min="12026" max="12026" width="11.5703125" customWidth="1"/>
    <col min="12028" max="12028" width="6.85546875" customWidth="1"/>
    <col min="12029" max="12029" width="61.7109375" customWidth="1"/>
    <col min="12030" max="12030" width="5.85546875" customWidth="1"/>
    <col min="12031" max="12031" width="3.7109375" customWidth="1"/>
    <col min="12032" max="12032" width="13" customWidth="1"/>
    <col min="12033" max="12033" width="3.7109375" customWidth="1"/>
    <col min="12034" max="12035" width="0" hidden="1" customWidth="1"/>
    <col min="12036" max="12036" width="11.28515625" customWidth="1"/>
    <col min="12037" max="12037" width="10.5703125" bestFit="1" customWidth="1"/>
    <col min="12038" max="12038" width="10.140625" customWidth="1"/>
    <col min="12039" max="12039" width="0.140625" customWidth="1"/>
    <col min="12040" max="12040" width="10.5703125" bestFit="1" customWidth="1"/>
    <col min="12276" max="12276" width="65.7109375" customWidth="1"/>
    <col min="12277" max="12277" width="4.85546875" customWidth="1"/>
    <col min="12278" max="12279" width="3.7109375" customWidth="1"/>
    <col min="12280" max="12280" width="11.42578125" customWidth="1"/>
    <col min="12281" max="12281" width="3.7109375" customWidth="1"/>
    <col min="12282" max="12282" width="11.5703125" customWidth="1"/>
    <col min="12284" max="12284" width="6.85546875" customWidth="1"/>
    <col min="12285" max="12285" width="61.7109375" customWidth="1"/>
    <col min="12286" max="12286" width="5.85546875" customWidth="1"/>
    <col min="12287" max="12287" width="3.7109375" customWidth="1"/>
    <col min="12288" max="12288" width="13" customWidth="1"/>
    <col min="12289" max="12289" width="3.7109375" customWidth="1"/>
    <col min="12290" max="12291" width="0" hidden="1" customWidth="1"/>
    <col min="12292" max="12292" width="11.28515625" customWidth="1"/>
    <col min="12293" max="12293" width="10.5703125" bestFit="1" customWidth="1"/>
    <col min="12294" max="12294" width="10.140625" customWidth="1"/>
    <col min="12295" max="12295" width="0.140625" customWidth="1"/>
    <col min="12296" max="12296" width="10.5703125" bestFit="1" customWidth="1"/>
    <col min="12532" max="12532" width="65.7109375" customWidth="1"/>
    <col min="12533" max="12533" width="4.85546875" customWidth="1"/>
    <col min="12534" max="12535" width="3.7109375" customWidth="1"/>
    <col min="12536" max="12536" width="11.42578125" customWidth="1"/>
    <col min="12537" max="12537" width="3.7109375" customWidth="1"/>
    <col min="12538" max="12538" width="11.5703125" customWidth="1"/>
    <col min="12540" max="12540" width="6.85546875" customWidth="1"/>
    <col min="12541" max="12541" width="61.7109375" customWidth="1"/>
    <col min="12542" max="12542" width="5.85546875" customWidth="1"/>
    <col min="12543" max="12543" width="3.7109375" customWidth="1"/>
    <col min="12544" max="12544" width="13" customWidth="1"/>
    <col min="12545" max="12545" width="3.7109375" customWidth="1"/>
    <col min="12546" max="12547" width="0" hidden="1" customWidth="1"/>
    <col min="12548" max="12548" width="11.28515625" customWidth="1"/>
    <col min="12549" max="12549" width="10.5703125" bestFit="1" customWidth="1"/>
    <col min="12550" max="12550" width="10.140625" customWidth="1"/>
    <col min="12551" max="12551" width="0.140625" customWidth="1"/>
    <col min="12552" max="12552" width="10.5703125" bestFit="1" customWidth="1"/>
    <col min="12788" max="12788" width="65.7109375" customWidth="1"/>
    <col min="12789" max="12789" width="4.85546875" customWidth="1"/>
    <col min="12790" max="12791" width="3.7109375" customWidth="1"/>
    <col min="12792" max="12792" width="11.42578125" customWidth="1"/>
    <col min="12793" max="12793" width="3.7109375" customWidth="1"/>
    <col min="12794" max="12794" width="11.5703125" customWidth="1"/>
    <col min="12796" max="12796" width="6.85546875" customWidth="1"/>
    <col min="12797" max="12797" width="61.7109375" customWidth="1"/>
    <col min="12798" max="12798" width="5.85546875" customWidth="1"/>
    <col min="12799" max="12799" width="3.7109375" customWidth="1"/>
    <col min="12800" max="12800" width="13" customWidth="1"/>
    <col min="12801" max="12801" width="3.7109375" customWidth="1"/>
    <col min="12802" max="12803" width="0" hidden="1" customWidth="1"/>
    <col min="12804" max="12804" width="11.28515625" customWidth="1"/>
    <col min="12805" max="12805" width="10.5703125" bestFit="1" customWidth="1"/>
    <col min="12806" max="12806" width="10.140625" customWidth="1"/>
    <col min="12807" max="12807" width="0.140625" customWidth="1"/>
    <col min="12808" max="12808" width="10.5703125" bestFit="1" customWidth="1"/>
    <col min="13044" max="13044" width="65.7109375" customWidth="1"/>
    <col min="13045" max="13045" width="4.85546875" customWidth="1"/>
    <col min="13046" max="13047" width="3.7109375" customWidth="1"/>
    <col min="13048" max="13048" width="11.42578125" customWidth="1"/>
    <col min="13049" max="13049" width="3.7109375" customWidth="1"/>
    <col min="13050" max="13050" width="11.5703125" customWidth="1"/>
    <col min="13052" max="13052" width="6.85546875" customWidth="1"/>
    <col min="13053" max="13053" width="61.7109375" customWidth="1"/>
    <col min="13054" max="13054" width="5.85546875" customWidth="1"/>
    <col min="13055" max="13055" width="3.7109375" customWidth="1"/>
    <col min="13056" max="13056" width="13" customWidth="1"/>
    <col min="13057" max="13057" width="3.7109375" customWidth="1"/>
    <col min="13058" max="13059" width="0" hidden="1" customWidth="1"/>
    <col min="13060" max="13060" width="11.28515625" customWidth="1"/>
    <col min="13061" max="13061" width="10.5703125" bestFit="1" customWidth="1"/>
    <col min="13062" max="13062" width="10.140625" customWidth="1"/>
    <col min="13063" max="13063" width="0.140625" customWidth="1"/>
    <col min="13064" max="13064" width="10.5703125" bestFit="1" customWidth="1"/>
    <col min="13300" max="13300" width="65.7109375" customWidth="1"/>
    <col min="13301" max="13301" width="4.85546875" customWidth="1"/>
    <col min="13302" max="13303" width="3.7109375" customWidth="1"/>
    <col min="13304" max="13304" width="11.42578125" customWidth="1"/>
    <col min="13305" max="13305" width="3.7109375" customWidth="1"/>
    <col min="13306" max="13306" width="11.5703125" customWidth="1"/>
    <col min="13308" max="13308" width="6.85546875" customWidth="1"/>
    <col min="13309" max="13309" width="61.7109375" customWidth="1"/>
    <col min="13310" max="13310" width="5.85546875" customWidth="1"/>
    <col min="13311" max="13311" width="3.7109375" customWidth="1"/>
    <col min="13312" max="13312" width="13" customWidth="1"/>
    <col min="13313" max="13313" width="3.7109375" customWidth="1"/>
    <col min="13314" max="13315" width="0" hidden="1" customWidth="1"/>
    <col min="13316" max="13316" width="11.28515625" customWidth="1"/>
    <col min="13317" max="13317" width="10.5703125" bestFit="1" customWidth="1"/>
    <col min="13318" max="13318" width="10.140625" customWidth="1"/>
    <col min="13319" max="13319" width="0.140625" customWidth="1"/>
    <col min="13320" max="13320" width="10.5703125" bestFit="1" customWidth="1"/>
    <col min="13556" max="13556" width="65.7109375" customWidth="1"/>
    <col min="13557" max="13557" width="4.85546875" customWidth="1"/>
    <col min="13558" max="13559" width="3.7109375" customWidth="1"/>
    <col min="13560" max="13560" width="11.42578125" customWidth="1"/>
    <col min="13561" max="13561" width="3.7109375" customWidth="1"/>
    <col min="13562" max="13562" width="11.5703125" customWidth="1"/>
    <col min="13564" max="13564" width="6.85546875" customWidth="1"/>
    <col min="13565" max="13565" width="61.7109375" customWidth="1"/>
    <col min="13566" max="13566" width="5.85546875" customWidth="1"/>
    <col min="13567" max="13567" width="3.7109375" customWidth="1"/>
    <col min="13568" max="13568" width="13" customWidth="1"/>
    <col min="13569" max="13569" width="3.7109375" customWidth="1"/>
    <col min="13570" max="13571" width="0" hidden="1" customWidth="1"/>
    <col min="13572" max="13572" width="11.28515625" customWidth="1"/>
    <col min="13573" max="13573" width="10.5703125" bestFit="1" customWidth="1"/>
    <col min="13574" max="13574" width="10.140625" customWidth="1"/>
    <col min="13575" max="13575" width="0.140625" customWidth="1"/>
    <col min="13576" max="13576" width="10.5703125" bestFit="1" customWidth="1"/>
    <col min="13812" max="13812" width="65.7109375" customWidth="1"/>
    <col min="13813" max="13813" width="4.85546875" customWidth="1"/>
    <col min="13814" max="13815" width="3.7109375" customWidth="1"/>
    <col min="13816" max="13816" width="11.42578125" customWidth="1"/>
    <col min="13817" max="13817" width="3.7109375" customWidth="1"/>
    <col min="13818" max="13818" width="11.5703125" customWidth="1"/>
    <col min="13820" max="13820" width="6.85546875" customWidth="1"/>
    <col min="13821" max="13821" width="61.7109375" customWidth="1"/>
    <col min="13822" max="13822" width="5.85546875" customWidth="1"/>
    <col min="13823" max="13823" width="3.7109375" customWidth="1"/>
    <col min="13824" max="13824" width="13" customWidth="1"/>
    <col min="13825" max="13825" width="3.7109375" customWidth="1"/>
    <col min="13826" max="13827" width="0" hidden="1" customWidth="1"/>
    <col min="13828" max="13828" width="11.28515625" customWidth="1"/>
    <col min="13829" max="13829" width="10.5703125" bestFit="1" customWidth="1"/>
    <col min="13830" max="13830" width="10.140625" customWidth="1"/>
    <col min="13831" max="13831" width="0.140625" customWidth="1"/>
    <col min="13832" max="13832" width="10.5703125" bestFit="1" customWidth="1"/>
    <col min="14068" max="14068" width="65.7109375" customWidth="1"/>
    <col min="14069" max="14069" width="4.85546875" customWidth="1"/>
    <col min="14070" max="14071" width="3.7109375" customWidth="1"/>
    <col min="14072" max="14072" width="11.42578125" customWidth="1"/>
    <col min="14073" max="14073" width="3.7109375" customWidth="1"/>
    <col min="14074" max="14074" width="11.5703125" customWidth="1"/>
    <col min="14076" max="14076" width="6.85546875" customWidth="1"/>
    <col min="14077" max="14077" width="61.7109375" customWidth="1"/>
    <col min="14078" max="14078" width="5.85546875" customWidth="1"/>
    <col min="14079" max="14079" width="3.7109375" customWidth="1"/>
    <col min="14080" max="14080" width="13" customWidth="1"/>
    <col min="14081" max="14081" width="3.7109375" customWidth="1"/>
    <col min="14082" max="14083" width="0" hidden="1" customWidth="1"/>
    <col min="14084" max="14084" width="11.28515625" customWidth="1"/>
    <col min="14085" max="14085" width="10.5703125" bestFit="1" customWidth="1"/>
    <col min="14086" max="14086" width="10.140625" customWidth="1"/>
    <col min="14087" max="14087" width="0.140625" customWidth="1"/>
    <col min="14088" max="14088" width="10.5703125" bestFit="1" customWidth="1"/>
    <col min="14324" max="14324" width="65.7109375" customWidth="1"/>
    <col min="14325" max="14325" width="4.85546875" customWidth="1"/>
    <col min="14326" max="14327" width="3.7109375" customWidth="1"/>
    <col min="14328" max="14328" width="11.42578125" customWidth="1"/>
    <col min="14329" max="14329" width="3.7109375" customWidth="1"/>
    <col min="14330" max="14330" width="11.5703125" customWidth="1"/>
    <col min="14332" max="14332" width="6.85546875" customWidth="1"/>
    <col min="14333" max="14333" width="61.7109375" customWidth="1"/>
    <col min="14334" max="14334" width="5.85546875" customWidth="1"/>
    <col min="14335" max="14335" width="3.7109375" customWidth="1"/>
    <col min="14336" max="14336" width="13" customWidth="1"/>
    <col min="14337" max="14337" width="3.7109375" customWidth="1"/>
    <col min="14338" max="14339" width="0" hidden="1" customWidth="1"/>
    <col min="14340" max="14340" width="11.28515625" customWidth="1"/>
    <col min="14341" max="14341" width="10.5703125" bestFit="1" customWidth="1"/>
    <col min="14342" max="14342" width="10.140625" customWidth="1"/>
    <col min="14343" max="14343" width="0.140625" customWidth="1"/>
    <col min="14344" max="14344" width="10.5703125" bestFit="1" customWidth="1"/>
    <col min="14580" max="14580" width="65.7109375" customWidth="1"/>
    <col min="14581" max="14581" width="4.85546875" customWidth="1"/>
    <col min="14582" max="14583" width="3.7109375" customWidth="1"/>
    <col min="14584" max="14584" width="11.42578125" customWidth="1"/>
    <col min="14585" max="14585" width="3.7109375" customWidth="1"/>
    <col min="14586" max="14586" width="11.5703125" customWidth="1"/>
    <col min="14588" max="14588" width="6.85546875" customWidth="1"/>
    <col min="14589" max="14589" width="61.7109375" customWidth="1"/>
    <col min="14590" max="14590" width="5.85546875" customWidth="1"/>
    <col min="14591" max="14591" width="3.7109375" customWidth="1"/>
    <col min="14592" max="14592" width="13" customWidth="1"/>
    <col min="14593" max="14593" width="3.7109375" customWidth="1"/>
    <col min="14594" max="14595" width="0" hidden="1" customWidth="1"/>
    <col min="14596" max="14596" width="11.28515625" customWidth="1"/>
    <col min="14597" max="14597" width="10.5703125" bestFit="1" customWidth="1"/>
    <col min="14598" max="14598" width="10.140625" customWidth="1"/>
    <col min="14599" max="14599" width="0.140625" customWidth="1"/>
    <col min="14600" max="14600" width="10.5703125" bestFit="1" customWidth="1"/>
    <col min="14836" max="14836" width="65.7109375" customWidth="1"/>
    <col min="14837" max="14837" width="4.85546875" customWidth="1"/>
    <col min="14838" max="14839" width="3.7109375" customWidth="1"/>
    <col min="14840" max="14840" width="11.42578125" customWidth="1"/>
    <col min="14841" max="14841" width="3.7109375" customWidth="1"/>
    <col min="14842" max="14842" width="11.5703125" customWidth="1"/>
    <col min="14844" max="14844" width="6.85546875" customWidth="1"/>
    <col min="14845" max="14845" width="61.7109375" customWidth="1"/>
    <col min="14846" max="14846" width="5.85546875" customWidth="1"/>
    <col min="14847" max="14847" width="3.7109375" customWidth="1"/>
    <col min="14848" max="14848" width="13" customWidth="1"/>
    <col min="14849" max="14849" width="3.7109375" customWidth="1"/>
    <col min="14850" max="14851" width="0" hidden="1" customWidth="1"/>
    <col min="14852" max="14852" width="11.28515625" customWidth="1"/>
    <col min="14853" max="14853" width="10.5703125" bestFit="1" customWidth="1"/>
    <col min="14854" max="14854" width="10.140625" customWidth="1"/>
    <col min="14855" max="14855" width="0.140625" customWidth="1"/>
    <col min="14856" max="14856" width="10.5703125" bestFit="1" customWidth="1"/>
    <col min="15092" max="15092" width="65.7109375" customWidth="1"/>
    <col min="15093" max="15093" width="4.85546875" customWidth="1"/>
    <col min="15094" max="15095" width="3.7109375" customWidth="1"/>
    <col min="15096" max="15096" width="11.42578125" customWidth="1"/>
    <col min="15097" max="15097" width="3.7109375" customWidth="1"/>
    <col min="15098" max="15098" width="11.5703125" customWidth="1"/>
    <col min="15100" max="15100" width="6.85546875" customWidth="1"/>
    <col min="15101" max="15101" width="61.7109375" customWidth="1"/>
    <col min="15102" max="15102" width="5.85546875" customWidth="1"/>
    <col min="15103" max="15103" width="3.7109375" customWidth="1"/>
    <col min="15104" max="15104" width="13" customWidth="1"/>
    <col min="15105" max="15105" width="3.7109375" customWidth="1"/>
    <col min="15106" max="15107" width="0" hidden="1" customWidth="1"/>
    <col min="15108" max="15108" width="11.28515625" customWidth="1"/>
    <col min="15109" max="15109" width="10.5703125" bestFit="1" customWidth="1"/>
    <col min="15110" max="15110" width="10.140625" customWidth="1"/>
    <col min="15111" max="15111" width="0.140625" customWidth="1"/>
    <col min="15112" max="15112" width="10.5703125" bestFit="1" customWidth="1"/>
    <col min="15348" max="15348" width="65.7109375" customWidth="1"/>
    <col min="15349" max="15349" width="4.85546875" customWidth="1"/>
    <col min="15350" max="15351" width="3.7109375" customWidth="1"/>
    <col min="15352" max="15352" width="11.42578125" customWidth="1"/>
    <col min="15353" max="15353" width="3.7109375" customWidth="1"/>
    <col min="15354" max="15354" width="11.5703125" customWidth="1"/>
    <col min="15356" max="15356" width="6.85546875" customWidth="1"/>
    <col min="15357" max="15357" width="61.7109375" customWidth="1"/>
    <col min="15358" max="15358" width="5.85546875" customWidth="1"/>
    <col min="15359" max="15359" width="3.7109375" customWidth="1"/>
    <col min="15360" max="15360" width="13" customWidth="1"/>
    <col min="15361" max="15361" width="3.7109375" customWidth="1"/>
    <col min="15362" max="15363" width="0" hidden="1" customWidth="1"/>
    <col min="15364" max="15364" width="11.28515625" customWidth="1"/>
    <col min="15365" max="15365" width="10.5703125" bestFit="1" customWidth="1"/>
    <col min="15366" max="15366" width="10.140625" customWidth="1"/>
    <col min="15367" max="15367" width="0.140625" customWidth="1"/>
    <col min="15368" max="15368" width="10.5703125" bestFit="1" customWidth="1"/>
    <col min="15604" max="15604" width="65.7109375" customWidth="1"/>
    <col min="15605" max="15605" width="4.85546875" customWidth="1"/>
    <col min="15606" max="15607" width="3.7109375" customWidth="1"/>
    <col min="15608" max="15608" width="11.42578125" customWidth="1"/>
    <col min="15609" max="15609" width="3.7109375" customWidth="1"/>
    <col min="15610" max="15610" width="11.5703125" customWidth="1"/>
    <col min="15612" max="15612" width="6.85546875" customWidth="1"/>
    <col min="15613" max="15613" width="61.7109375" customWidth="1"/>
    <col min="15614" max="15614" width="5.85546875" customWidth="1"/>
    <col min="15615" max="15615" width="3.7109375" customWidth="1"/>
    <col min="15616" max="15616" width="13" customWidth="1"/>
    <col min="15617" max="15617" width="3.7109375" customWidth="1"/>
    <col min="15618" max="15619" width="0" hidden="1" customWidth="1"/>
    <col min="15620" max="15620" width="11.28515625" customWidth="1"/>
    <col min="15621" max="15621" width="10.5703125" bestFit="1" customWidth="1"/>
    <col min="15622" max="15622" width="10.140625" customWidth="1"/>
    <col min="15623" max="15623" width="0.140625" customWidth="1"/>
    <col min="15624" max="15624" width="10.5703125" bestFit="1" customWidth="1"/>
    <col min="15860" max="15860" width="65.7109375" customWidth="1"/>
    <col min="15861" max="15861" width="4.85546875" customWidth="1"/>
    <col min="15862" max="15863" width="3.7109375" customWidth="1"/>
    <col min="15864" max="15864" width="11.42578125" customWidth="1"/>
    <col min="15865" max="15865" width="3.7109375" customWidth="1"/>
    <col min="15866" max="15866" width="11.5703125" customWidth="1"/>
    <col min="15868" max="15868" width="6.85546875" customWidth="1"/>
    <col min="15869" max="15869" width="61.7109375" customWidth="1"/>
    <col min="15870" max="15870" width="5.85546875" customWidth="1"/>
    <col min="15871" max="15871" width="3.7109375" customWidth="1"/>
    <col min="15872" max="15872" width="13" customWidth="1"/>
    <col min="15873" max="15873" width="3.7109375" customWidth="1"/>
    <col min="15874" max="15875" width="0" hidden="1" customWidth="1"/>
    <col min="15876" max="15876" width="11.28515625" customWidth="1"/>
    <col min="15877" max="15877" width="10.5703125" bestFit="1" customWidth="1"/>
    <col min="15878" max="15878" width="10.140625" customWidth="1"/>
    <col min="15879" max="15879" width="0.140625" customWidth="1"/>
    <col min="15880" max="15880" width="10.5703125" bestFit="1" customWidth="1"/>
    <col min="16116" max="16116" width="65.7109375" customWidth="1"/>
    <col min="16117" max="16117" width="4.85546875" customWidth="1"/>
    <col min="16118" max="16119" width="3.7109375" customWidth="1"/>
    <col min="16120" max="16120" width="11.42578125" customWidth="1"/>
    <col min="16121" max="16121" width="3.7109375" customWidth="1"/>
    <col min="16122" max="16122" width="11.5703125" customWidth="1"/>
    <col min="16124" max="16124" width="6.85546875" customWidth="1"/>
    <col min="16125" max="16125" width="61.7109375" customWidth="1"/>
    <col min="16126" max="16126" width="5.85546875" customWidth="1"/>
    <col min="16127" max="16127" width="3.7109375" customWidth="1"/>
    <col min="16128" max="16128" width="13" customWidth="1"/>
    <col min="16129" max="16129" width="3.7109375" customWidth="1"/>
    <col min="16130" max="16131" width="0" hidden="1" customWidth="1"/>
    <col min="16132" max="16132" width="11.28515625" customWidth="1"/>
    <col min="16133" max="16133" width="10.5703125" bestFit="1" customWidth="1"/>
    <col min="16134" max="16134" width="10.140625" customWidth="1"/>
    <col min="16135" max="16135" width="0.140625" customWidth="1"/>
    <col min="16136" max="16136" width="10.5703125" bestFit="1" customWidth="1"/>
    <col min="16372" max="16372" width="65.7109375" customWidth="1"/>
    <col min="16373" max="16373" width="4.85546875" customWidth="1"/>
    <col min="16374" max="16375" width="3.7109375" customWidth="1"/>
    <col min="16376" max="16376" width="11.42578125" customWidth="1"/>
    <col min="16377" max="16384" width="3.7109375" customWidth="1"/>
  </cols>
  <sheetData>
    <row r="1" spans="1:14" x14ac:dyDescent="0.25">
      <c r="D1" s="74"/>
      <c r="E1" s="448" t="s">
        <v>381</v>
      </c>
      <c r="F1" s="448"/>
      <c r="G1" s="448"/>
      <c r="H1" s="448"/>
      <c r="I1" s="448"/>
      <c r="J1" s="448"/>
      <c r="K1" s="448"/>
      <c r="L1" s="448"/>
      <c r="M1" s="448"/>
      <c r="N1" s="448"/>
    </row>
    <row r="2" spans="1:14" ht="89.25" customHeight="1" x14ac:dyDescent="0.25">
      <c r="D2" s="182"/>
      <c r="E2" s="436" t="s">
        <v>873</v>
      </c>
      <c r="F2" s="436"/>
      <c r="G2" s="436"/>
      <c r="H2" s="436"/>
      <c r="I2" s="436"/>
      <c r="J2" s="436"/>
      <c r="K2" s="436"/>
      <c r="L2" s="436"/>
      <c r="M2" s="436"/>
      <c r="N2" s="436"/>
    </row>
    <row r="3" spans="1:14" ht="15" customHeight="1" x14ac:dyDescent="0.25">
      <c r="D3" s="182"/>
      <c r="E3" s="432" t="s">
        <v>875</v>
      </c>
      <c r="F3" s="432"/>
      <c r="G3" s="432"/>
      <c r="H3" s="432"/>
      <c r="I3" s="432"/>
      <c r="J3" s="432"/>
      <c r="K3" s="432"/>
      <c r="L3" s="432"/>
      <c r="M3" s="432"/>
      <c r="N3" s="432"/>
    </row>
    <row r="4" spans="1:14" ht="15" customHeight="1" x14ac:dyDescent="0.25">
      <c r="A4" s="92"/>
      <c r="B4" s="93"/>
      <c r="C4" s="92"/>
      <c r="D4" s="94"/>
      <c r="E4" s="94"/>
    </row>
    <row r="5" spans="1:14" ht="15" customHeight="1" x14ac:dyDescent="0.25">
      <c r="A5" s="450" t="s">
        <v>341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</row>
    <row r="6" spans="1:14" ht="14.25" customHeight="1" x14ac:dyDescent="0.25">
      <c r="A6" s="450" t="s">
        <v>419</v>
      </c>
      <c r="B6" s="450"/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</row>
    <row r="7" spans="1:14" ht="14.25" customHeight="1" x14ac:dyDescent="0.25">
      <c r="A7" s="95"/>
      <c r="B7" s="96"/>
      <c r="C7" s="70"/>
      <c r="D7" s="97"/>
      <c r="E7" s="98"/>
      <c r="F7" t="s">
        <v>383</v>
      </c>
    </row>
    <row r="8" spans="1:14" x14ac:dyDescent="0.25">
      <c r="A8" s="451" t="s">
        <v>221</v>
      </c>
      <c r="B8" s="451" t="s">
        <v>298</v>
      </c>
      <c r="C8" s="451" t="s">
        <v>299</v>
      </c>
      <c r="D8" s="452" t="s">
        <v>300</v>
      </c>
      <c r="E8" s="454" t="s">
        <v>301</v>
      </c>
      <c r="F8" s="449" t="s">
        <v>340</v>
      </c>
      <c r="G8" s="144"/>
      <c r="H8" s="144"/>
      <c r="I8" s="144"/>
      <c r="J8" s="144"/>
      <c r="K8" s="144"/>
      <c r="L8" s="144"/>
      <c r="M8" s="144"/>
      <c r="N8" s="449" t="s">
        <v>338</v>
      </c>
    </row>
    <row r="9" spans="1:14" ht="12.75" customHeight="1" x14ac:dyDescent="0.25">
      <c r="A9" s="451"/>
      <c r="B9" s="451"/>
      <c r="C9" s="451"/>
      <c r="D9" s="453"/>
      <c r="E9" s="454"/>
      <c r="F9" s="449"/>
      <c r="G9" s="144"/>
      <c r="H9" s="144"/>
      <c r="I9" s="144"/>
      <c r="J9" s="144"/>
      <c r="K9" s="144"/>
      <c r="L9" s="144"/>
      <c r="M9" s="144"/>
      <c r="N9" s="449"/>
    </row>
    <row r="10" spans="1:14" ht="15" customHeight="1" x14ac:dyDescent="0.25">
      <c r="A10" s="99">
        <v>1</v>
      </c>
      <c r="B10" s="100" t="s">
        <v>302</v>
      </c>
      <c r="C10" s="100" t="s">
        <v>303</v>
      </c>
      <c r="D10" s="100" t="s">
        <v>304</v>
      </c>
      <c r="E10" s="101">
        <v>5</v>
      </c>
      <c r="F10" s="145">
        <v>6</v>
      </c>
      <c r="G10" s="145"/>
      <c r="H10" s="145"/>
      <c r="I10" s="145"/>
      <c r="J10" s="145"/>
      <c r="K10" s="145"/>
      <c r="L10" s="145"/>
      <c r="M10" s="145"/>
      <c r="N10" s="145"/>
    </row>
    <row r="11" spans="1:14" ht="14.25" customHeight="1" x14ac:dyDescent="0.25">
      <c r="A11" s="102"/>
      <c r="B11" s="103"/>
      <c r="C11" s="104" t="s">
        <v>305</v>
      </c>
      <c r="D11" s="105"/>
      <c r="E11" s="106">
        <f>+SUM(E12:E32)</f>
        <v>4722.8920000000007</v>
      </c>
      <c r="F11" s="106">
        <f>+SUM(F12:F32)</f>
        <v>4722.8032400000002</v>
      </c>
      <c r="G11" s="145"/>
      <c r="H11" s="145"/>
      <c r="I11" s="146"/>
      <c r="J11" s="145"/>
      <c r="K11" s="145"/>
      <c r="L11" s="145"/>
      <c r="M11" s="145"/>
      <c r="N11" s="186">
        <f>+F11/E11*100</f>
        <v>99.998120643029722</v>
      </c>
    </row>
    <row r="12" spans="1:14" ht="25.5" customHeight="1" x14ac:dyDescent="0.25">
      <c r="A12" s="102">
        <v>1</v>
      </c>
      <c r="B12" s="107" t="s">
        <v>306</v>
      </c>
      <c r="C12" s="108" t="s">
        <v>861</v>
      </c>
      <c r="D12" s="100" t="s">
        <v>307</v>
      </c>
      <c r="E12" s="109">
        <v>200</v>
      </c>
      <c r="F12" s="109">
        <v>200</v>
      </c>
      <c r="G12" s="145"/>
      <c r="H12" s="145"/>
      <c r="I12" s="145"/>
      <c r="J12" s="145"/>
      <c r="K12" s="145"/>
      <c r="L12" s="145"/>
      <c r="M12" s="145"/>
      <c r="N12" s="186">
        <f t="shared" ref="N12:N32" si="0">+F12/E12*100</f>
        <v>100</v>
      </c>
    </row>
    <row r="13" spans="1:14" ht="25.5" x14ac:dyDescent="0.25">
      <c r="A13" s="102">
        <v>2</v>
      </c>
      <c r="B13" s="107" t="s">
        <v>306</v>
      </c>
      <c r="C13" s="10" t="s">
        <v>862</v>
      </c>
      <c r="D13" s="100" t="s">
        <v>308</v>
      </c>
      <c r="E13" s="109">
        <f>+вед!G28</f>
        <v>225.74199999999999</v>
      </c>
      <c r="F13" s="109">
        <f>+вед!H28</f>
        <v>225.74200000000002</v>
      </c>
      <c r="G13" s="145"/>
      <c r="H13" s="145"/>
      <c r="I13" s="145"/>
      <c r="J13" s="145"/>
      <c r="K13" s="145"/>
      <c r="L13" s="145"/>
      <c r="M13" s="145"/>
      <c r="N13" s="186">
        <f t="shared" si="0"/>
        <v>100.00000000000003</v>
      </c>
    </row>
    <row r="14" spans="1:14" ht="66" customHeight="1" x14ac:dyDescent="0.25">
      <c r="A14" s="110">
        <v>3</v>
      </c>
      <c r="B14" s="111" t="s">
        <v>309</v>
      </c>
      <c r="C14" s="112" t="s">
        <v>863</v>
      </c>
      <c r="D14" s="113" t="s">
        <v>310</v>
      </c>
      <c r="E14" s="114">
        <f>+вед!G51</f>
        <v>200</v>
      </c>
      <c r="F14" s="114">
        <f>+вед!H51</f>
        <v>200</v>
      </c>
      <c r="G14" s="145"/>
      <c r="H14" s="145"/>
      <c r="I14" s="145"/>
      <c r="J14" s="145"/>
      <c r="K14" s="145"/>
      <c r="L14" s="145"/>
      <c r="M14" s="145"/>
      <c r="N14" s="186">
        <f t="shared" si="0"/>
        <v>100</v>
      </c>
    </row>
    <row r="15" spans="1:14" ht="38.25" x14ac:dyDescent="0.25">
      <c r="A15" s="110">
        <v>4</v>
      </c>
      <c r="B15" s="115" t="s">
        <v>311</v>
      </c>
      <c r="C15" s="116" t="s">
        <v>88</v>
      </c>
      <c r="D15" s="113" t="s">
        <v>312</v>
      </c>
      <c r="E15" s="114">
        <f>+вед!G100</f>
        <v>248</v>
      </c>
      <c r="F15" s="114">
        <f>+вед!H100</f>
        <v>248</v>
      </c>
      <c r="G15" s="145"/>
      <c r="H15" s="145"/>
      <c r="I15" s="145"/>
      <c r="J15" s="145"/>
      <c r="K15" s="145"/>
      <c r="L15" s="145"/>
      <c r="M15" s="145"/>
      <c r="N15" s="186">
        <f t="shared" si="0"/>
        <v>100</v>
      </c>
    </row>
    <row r="16" spans="1:14" ht="38.25" x14ac:dyDescent="0.25">
      <c r="A16" s="110">
        <v>5</v>
      </c>
      <c r="B16" s="115" t="s">
        <v>311</v>
      </c>
      <c r="C16" s="116" t="s">
        <v>313</v>
      </c>
      <c r="D16" s="113" t="s">
        <v>314</v>
      </c>
      <c r="E16" s="117">
        <f>+вед!G104</f>
        <v>24.14</v>
      </c>
      <c r="F16" s="117">
        <f>+вед!H104</f>
        <v>24.14</v>
      </c>
      <c r="G16" s="145"/>
      <c r="H16" s="145"/>
      <c r="I16" s="145"/>
      <c r="J16" s="145"/>
      <c r="K16" s="145"/>
      <c r="L16" s="145"/>
      <c r="M16" s="145"/>
      <c r="N16" s="186">
        <f t="shared" si="0"/>
        <v>100</v>
      </c>
    </row>
    <row r="17" spans="1:14" ht="38.25" x14ac:dyDescent="0.25">
      <c r="A17" s="110">
        <v>6</v>
      </c>
      <c r="B17" s="115" t="s">
        <v>311</v>
      </c>
      <c r="C17" s="116" t="s">
        <v>91</v>
      </c>
      <c r="D17" s="113" t="s">
        <v>315</v>
      </c>
      <c r="E17" s="117">
        <f>+вед!G108</f>
        <v>586.95000000000005</v>
      </c>
      <c r="F17" s="117">
        <f>+вед!H108</f>
        <v>586.95000000000005</v>
      </c>
      <c r="G17" s="145"/>
      <c r="H17" s="145"/>
      <c r="I17" s="145"/>
      <c r="J17" s="145"/>
      <c r="K17" s="145"/>
      <c r="L17" s="145"/>
      <c r="M17" s="145"/>
      <c r="N17" s="186">
        <f t="shared" si="0"/>
        <v>100</v>
      </c>
    </row>
    <row r="18" spans="1:14" ht="38.25" x14ac:dyDescent="0.25">
      <c r="A18" s="110">
        <v>7</v>
      </c>
      <c r="B18" s="115" t="s">
        <v>311</v>
      </c>
      <c r="C18" s="116" t="s">
        <v>864</v>
      </c>
      <c r="D18" s="113" t="s">
        <v>316</v>
      </c>
      <c r="E18" s="117">
        <f>+вед!G110</f>
        <v>97.72</v>
      </c>
      <c r="F18" s="117">
        <f>+вед!H110</f>
        <v>97.72</v>
      </c>
      <c r="G18" s="145"/>
      <c r="H18" s="145"/>
      <c r="I18" s="145"/>
      <c r="J18" s="145"/>
      <c r="K18" s="145"/>
      <c r="L18" s="145"/>
      <c r="M18" s="145"/>
      <c r="N18" s="186">
        <f t="shared" si="0"/>
        <v>100</v>
      </c>
    </row>
    <row r="19" spans="1:14" ht="38.25" x14ac:dyDescent="0.25">
      <c r="A19" s="110">
        <v>8</v>
      </c>
      <c r="B19" s="115" t="s">
        <v>311</v>
      </c>
      <c r="C19" s="116" t="s">
        <v>865</v>
      </c>
      <c r="D19" s="113" t="s">
        <v>317</v>
      </c>
      <c r="E19" s="117"/>
      <c r="F19" s="117"/>
      <c r="G19" s="145"/>
      <c r="H19" s="145"/>
      <c r="I19" s="145"/>
      <c r="J19" s="145"/>
      <c r="K19" s="145"/>
      <c r="L19" s="145"/>
      <c r="M19" s="145"/>
      <c r="N19" s="186" t="e">
        <f t="shared" si="0"/>
        <v>#DIV/0!</v>
      </c>
    </row>
    <row r="20" spans="1:14" ht="51" x14ac:dyDescent="0.25">
      <c r="A20" s="110">
        <v>9</v>
      </c>
      <c r="B20" s="115" t="s">
        <v>311</v>
      </c>
      <c r="C20" s="56" t="s">
        <v>318</v>
      </c>
      <c r="D20" s="113" t="s">
        <v>319</v>
      </c>
      <c r="E20" s="117"/>
      <c r="F20" s="117"/>
      <c r="G20" s="145"/>
      <c r="H20" s="145"/>
      <c r="I20" s="145"/>
      <c r="J20" s="145"/>
      <c r="K20" s="145"/>
      <c r="L20" s="145"/>
      <c r="M20" s="145"/>
      <c r="N20" s="186" t="e">
        <f t="shared" si="0"/>
        <v>#DIV/0!</v>
      </c>
    </row>
    <row r="21" spans="1:14" ht="38.25" x14ac:dyDescent="0.25">
      <c r="A21" s="110">
        <v>10</v>
      </c>
      <c r="B21" s="111" t="s">
        <v>320</v>
      </c>
      <c r="C21" s="118" t="s">
        <v>866</v>
      </c>
      <c r="D21" s="119" t="s">
        <v>321</v>
      </c>
      <c r="E21" s="106">
        <f>+вед!G167</f>
        <v>15</v>
      </c>
      <c r="F21" s="106">
        <f>+вед!H167</f>
        <v>15</v>
      </c>
      <c r="G21" s="145"/>
      <c r="H21" s="145"/>
      <c r="I21" s="145"/>
      <c r="J21" s="145"/>
      <c r="K21" s="145"/>
      <c r="L21" s="145"/>
      <c r="M21" s="145"/>
      <c r="N21" s="186">
        <f t="shared" si="0"/>
        <v>100</v>
      </c>
    </row>
    <row r="22" spans="1:14" ht="38.25" x14ac:dyDescent="0.25">
      <c r="A22" s="102">
        <v>11</v>
      </c>
      <c r="B22" s="107" t="s">
        <v>322</v>
      </c>
      <c r="C22" s="120" t="s">
        <v>867</v>
      </c>
      <c r="D22" s="102" t="s">
        <v>323</v>
      </c>
      <c r="E22" s="121">
        <f>+вед!G234</f>
        <v>40</v>
      </c>
      <c r="F22" s="121">
        <f>+вед!H234</f>
        <v>40</v>
      </c>
      <c r="G22" s="145"/>
      <c r="H22" s="145"/>
      <c r="I22" s="145"/>
      <c r="J22" s="145"/>
      <c r="K22" s="145"/>
      <c r="L22" s="145"/>
      <c r="M22" s="145"/>
      <c r="N22" s="186">
        <f t="shared" si="0"/>
        <v>100</v>
      </c>
    </row>
    <row r="23" spans="1:14" ht="52.5" customHeight="1" x14ac:dyDescent="0.25">
      <c r="A23" s="126">
        <v>12</v>
      </c>
      <c r="B23" s="107" t="s">
        <v>322</v>
      </c>
      <c r="C23" s="120" t="s">
        <v>858</v>
      </c>
      <c r="D23" s="61" t="s">
        <v>324</v>
      </c>
      <c r="E23" s="125">
        <v>0</v>
      </c>
      <c r="F23" s="125">
        <v>0</v>
      </c>
      <c r="G23" s="145"/>
      <c r="H23" s="145"/>
      <c r="I23" s="145"/>
      <c r="J23" s="145"/>
      <c r="K23" s="145"/>
      <c r="L23" s="145"/>
      <c r="M23" s="145"/>
      <c r="N23" s="186" t="e">
        <f t="shared" si="0"/>
        <v>#DIV/0!</v>
      </c>
    </row>
    <row r="24" spans="1:14" ht="69" customHeight="1" x14ac:dyDescent="0.25">
      <c r="A24" s="126">
        <v>13</v>
      </c>
      <c r="B24" s="107" t="s">
        <v>322</v>
      </c>
      <c r="C24" s="127" t="s">
        <v>860</v>
      </c>
      <c r="D24" s="61" t="s">
        <v>325</v>
      </c>
      <c r="E24" s="125">
        <v>0</v>
      </c>
      <c r="F24" s="125">
        <v>0</v>
      </c>
      <c r="G24" s="145"/>
      <c r="H24" s="145"/>
      <c r="I24" s="145"/>
      <c r="J24" s="145"/>
      <c r="K24" s="145"/>
      <c r="L24" s="145"/>
      <c r="M24" s="145"/>
      <c r="N24" s="186" t="e">
        <f t="shared" si="0"/>
        <v>#DIV/0!</v>
      </c>
    </row>
    <row r="25" spans="1:14" ht="51" x14ac:dyDescent="0.25">
      <c r="A25" s="126">
        <v>14</v>
      </c>
      <c r="B25" s="107" t="s">
        <v>322</v>
      </c>
      <c r="C25" s="120" t="s">
        <v>326</v>
      </c>
      <c r="D25" s="61" t="s">
        <v>327</v>
      </c>
      <c r="E25" s="122">
        <f>+вед!G253</f>
        <v>256.06</v>
      </c>
      <c r="F25" s="122">
        <f>+вед!H253</f>
        <v>256.06</v>
      </c>
      <c r="G25" s="145"/>
      <c r="H25" s="145"/>
      <c r="I25" s="145"/>
      <c r="J25" s="145"/>
      <c r="K25" s="145"/>
      <c r="L25" s="145"/>
      <c r="M25" s="145"/>
      <c r="N25" s="186">
        <f t="shared" si="0"/>
        <v>100</v>
      </c>
    </row>
    <row r="26" spans="1:14" ht="38.25" x14ac:dyDescent="0.25">
      <c r="A26" s="102">
        <v>15</v>
      </c>
      <c r="B26" s="107" t="s">
        <v>322</v>
      </c>
      <c r="C26" s="120" t="s">
        <v>859</v>
      </c>
      <c r="D26" s="61" t="s">
        <v>328</v>
      </c>
      <c r="E26" s="114">
        <f>+вед!G251</f>
        <v>43</v>
      </c>
      <c r="F26" s="114">
        <f>+вед!H251</f>
        <v>43</v>
      </c>
      <c r="G26" s="145"/>
      <c r="H26" s="145"/>
      <c r="I26" s="145"/>
      <c r="J26" s="145"/>
      <c r="K26" s="145"/>
      <c r="L26" s="145"/>
      <c r="M26" s="145"/>
      <c r="N26" s="186">
        <f t="shared" si="0"/>
        <v>100</v>
      </c>
    </row>
    <row r="27" spans="1:14" ht="51" x14ac:dyDescent="0.25">
      <c r="A27" s="102">
        <v>16</v>
      </c>
      <c r="B27" s="107" t="s">
        <v>322</v>
      </c>
      <c r="C27" s="128" t="s">
        <v>853</v>
      </c>
      <c r="D27" s="61" t="s">
        <v>329</v>
      </c>
      <c r="E27" s="122">
        <f>+вед!G294</f>
        <v>48.3</v>
      </c>
      <c r="F27" s="122">
        <f>+вед!H294</f>
        <v>48.287999999999997</v>
      </c>
      <c r="G27" s="145"/>
      <c r="H27" s="145"/>
      <c r="I27" s="145"/>
      <c r="J27" s="145"/>
      <c r="K27" s="145"/>
      <c r="L27" s="145"/>
      <c r="M27" s="145"/>
      <c r="N27" s="186">
        <f t="shared" si="0"/>
        <v>99.975155279503099</v>
      </c>
    </row>
    <row r="28" spans="1:14" ht="25.5" x14ac:dyDescent="0.25">
      <c r="A28" s="102">
        <v>17</v>
      </c>
      <c r="B28" s="107" t="s">
        <v>322</v>
      </c>
      <c r="C28" s="120" t="s">
        <v>330</v>
      </c>
      <c r="D28" s="61" t="s">
        <v>331</v>
      </c>
      <c r="E28" s="121">
        <f>+вед!G262</f>
        <v>1377.8109999999999</v>
      </c>
      <c r="F28" s="121">
        <f>+вед!H262</f>
        <v>1377.81061</v>
      </c>
      <c r="G28" s="145"/>
      <c r="H28" s="145"/>
      <c r="I28" s="145"/>
      <c r="J28" s="145"/>
      <c r="K28" s="145"/>
      <c r="L28" s="145"/>
      <c r="M28" s="145"/>
      <c r="N28" s="186">
        <f t="shared" si="0"/>
        <v>99.999971694230922</v>
      </c>
    </row>
    <row r="29" spans="1:14" ht="51" x14ac:dyDescent="0.25">
      <c r="A29" s="102">
        <v>18</v>
      </c>
      <c r="B29" s="107" t="s">
        <v>322</v>
      </c>
      <c r="C29" s="120" t="s">
        <v>857</v>
      </c>
      <c r="D29" s="61" t="s">
        <v>332</v>
      </c>
      <c r="E29" s="114">
        <f>+вед!G265</f>
        <v>532.91999999999996</v>
      </c>
      <c r="F29" s="114">
        <f>+вед!H265</f>
        <v>532.91962999999998</v>
      </c>
      <c r="G29" s="145"/>
      <c r="H29" s="145"/>
      <c r="I29" s="145"/>
      <c r="J29" s="145"/>
      <c r="K29" s="145"/>
      <c r="L29" s="145"/>
      <c r="M29" s="145"/>
      <c r="N29" s="186">
        <f t="shared" si="0"/>
        <v>99.999930571192678</v>
      </c>
    </row>
    <row r="30" spans="1:14" ht="25.5" x14ac:dyDescent="0.25">
      <c r="A30" s="102">
        <v>19</v>
      </c>
      <c r="B30" s="107" t="s">
        <v>322</v>
      </c>
      <c r="C30" s="129" t="s">
        <v>854</v>
      </c>
      <c r="D30" s="61" t="s">
        <v>333</v>
      </c>
      <c r="E30" s="114">
        <f>+вед!G279</f>
        <v>43</v>
      </c>
      <c r="F30" s="114">
        <f>+вед!H279</f>
        <v>43</v>
      </c>
      <c r="G30" s="145"/>
      <c r="H30" s="145"/>
      <c r="I30" s="145"/>
      <c r="J30" s="145"/>
      <c r="K30" s="145"/>
      <c r="L30" s="145"/>
      <c r="M30" s="145"/>
      <c r="N30" s="186">
        <f t="shared" si="0"/>
        <v>100</v>
      </c>
    </row>
    <row r="31" spans="1:14" ht="51" x14ac:dyDescent="0.25">
      <c r="A31" s="102">
        <v>20</v>
      </c>
      <c r="B31" s="107" t="s">
        <v>322</v>
      </c>
      <c r="C31" s="120" t="s">
        <v>855</v>
      </c>
      <c r="D31" s="61" t="s">
        <v>334</v>
      </c>
      <c r="E31" s="114">
        <f>+вед!G284</f>
        <v>289.10000000000002</v>
      </c>
      <c r="F31" s="114">
        <f>+вед!H284</f>
        <v>289.024</v>
      </c>
      <c r="G31" s="145"/>
      <c r="H31" s="145"/>
      <c r="I31" s="145"/>
      <c r="J31" s="145"/>
      <c r="K31" s="145"/>
      <c r="L31" s="145"/>
      <c r="M31" s="145"/>
      <c r="N31" s="186">
        <f t="shared" si="0"/>
        <v>99.973711518505709</v>
      </c>
    </row>
    <row r="32" spans="1:14" ht="38.25" x14ac:dyDescent="0.25">
      <c r="A32" s="123">
        <v>21</v>
      </c>
      <c r="B32" s="107" t="s">
        <v>322</v>
      </c>
      <c r="C32" s="124" t="s">
        <v>856</v>
      </c>
      <c r="D32" s="61" t="s">
        <v>335</v>
      </c>
      <c r="E32" s="122">
        <f>+вед!G292</f>
        <v>495.149</v>
      </c>
      <c r="F32" s="122">
        <f>+вед!H292</f>
        <v>495.149</v>
      </c>
      <c r="G32" s="145"/>
      <c r="H32" s="145"/>
      <c r="I32" s="145"/>
      <c r="J32" s="145"/>
      <c r="K32" s="145"/>
      <c r="L32" s="145"/>
      <c r="M32" s="145"/>
      <c r="N32" s="186">
        <f t="shared" si="0"/>
        <v>100</v>
      </c>
    </row>
  </sheetData>
  <mergeCells count="12">
    <mergeCell ref="E1:N1"/>
    <mergeCell ref="E2:N2"/>
    <mergeCell ref="E3:N3"/>
    <mergeCell ref="F8:F9"/>
    <mergeCell ref="N8:N9"/>
    <mergeCell ref="A5:N5"/>
    <mergeCell ref="A6:N6"/>
    <mergeCell ref="A8:A9"/>
    <mergeCell ref="B8:B9"/>
    <mergeCell ref="C8:C9"/>
    <mergeCell ref="D8:D9"/>
    <mergeCell ref="E8:E9"/>
  </mergeCells>
  <printOptions horizontalCentered="1"/>
  <pageMargins left="0.98425196850393704" right="0.39370078740157483" top="0.39370078740157483" bottom="0.3937007874015748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SheetLayoutView="100" workbookViewId="0">
      <selection activeCell="C3" sqref="C3:F3"/>
    </sheetView>
  </sheetViews>
  <sheetFormatPr defaultRowHeight="15" x14ac:dyDescent="0.25"/>
  <cols>
    <col min="1" max="1" width="5.5703125" customWidth="1"/>
    <col min="2" max="2" width="47.42578125" customWidth="1"/>
    <col min="3" max="3" width="16.28515625" customWidth="1"/>
    <col min="4" max="4" width="0" hidden="1" customWidth="1"/>
    <col min="5" max="5" width="12.5703125" customWidth="1"/>
  </cols>
  <sheetData>
    <row r="1" spans="1:12" x14ac:dyDescent="0.25">
      <c r="A1" s="71"/>
      <c r="B1" s="71"/>
      <c r="C1" s="448" t="s">
        <v>848</v>
      </c>
      <c r="D1" s="448"/>
      <c r="E1" s="448"/>
      <c r="F1" s="448"/>
      <c r="G1" s="58"/>
      <c r="H1" s="58"/>
      <c r="I1" s="58"/>
      <c r="J1" s="58"/>
      <c r="K1" s="58"/>
      <c r="L1" s="58"/>
    </row>
    <row r="2" spans="1:12" ht="70.5" customHeight="1" x14ac:dyDescent="0.25">
      <c r="A2" s="72"/>
      <c r="B2" s="73"/>
      <c r="C2" s="436" t="s">
        <v>873</v>
      </c>
      <c r="D2" s="436"/>
      <c r="E2" s="436"/>
      <c r="F2" s="436"/>
      <c r="G2" s="185"/>
      <c r="H2" s="185"/>
      <c r="I2" s="185"/>
      <c r="J2" s="185"/>
      <c r="K2" s="185"/>
      <c r="L2" s="185"/>
    </row>
    <row r="3" spans="1:12" ht="15" customHeight="1" x14ac:dyDescent="0.25">
      <c r="A3" s="72"/>
      <c r="B3" s="74"/>
      <c r="C3" s="432" t="s">
        <v>869</v>
      </c>
      <c r="D3" s="432"/>
      <c r="E3" s="432"/>
      <c r="F3" s="432"/>
      <c r="G3" s="57"/>
      <c r="H3" s="57"/>
      <c r="I3" s="57"/>
      <c r="J3" s="57"/>
      <c r="K3" s="57"/>
      <c r="L3" s="57"/>
    </row>
    <row r="4" spans="1:12" ht="23.25" customHeight="1" x14ac:dyDescent="0.25">
      <c r="A4" s="72"/>
      <c r="B4" s="74"/>
      <c r="C4" s="76"/>
      <c r="D4" s="59"/>
    </row>
    <row r="5" spans="1:12" ht="21" customHeight="1" x14ac:dyDescent="0.25">
      <c r="A5" s="455" t="s">
        <v>420</v>
      </c>
      <c r="B5" s="455"/>
      <c r="C5" s="455"/>
      <c r="D5" s="455"/>
      <c r="E5" s="455"/>
      <c r="F5" s="455"/>
    </row>
    <row r="6" spans="1:12" ht="15.75" x14ac:dyDescent="0.25">
      <c r="A6" s="131"/>
      <c r="B6" s="131"/>
      <c r="C6" s="132"/>
      <c r="D6" s="132" t="s">
        <v>220</v>
      </c>
      <c r="F6" s="132" t="s">
        <v>220</v>
      </c>
    </row>
    <row r="7" spans="1:12" s="60" customFormat="1" ht="31.5" x14ac:dyDescent="0.25">
      <c r="A7" s="133" t="s">
        <v>221</v>
      </c>
      <c r="B7" s="134" t="s">
        <v>222</v>
      </c>
      <c r="C7" s="134" t="s">
        <v>223</v>
      </c>
      <c r="E7" s="148" t="s">
        <v>339</v>
      </c>
      <c r="F7" s="148" t="s">
        <v>338</v>
      </c>
    </row>
    <row r="8" spans="1:12" s="62" customFormat="1" ht="31.5" x14ac:dyDescent="0.25">
      <c r="A8" s="135">
        <v>1</v>
      </c>
      <c r="B8" s="136" t="s">
        <v>224</v>
      </c>
      <c r="C8" s="137">
        <v>4150.2</v>
      </c>
      <c r="D8" s="137">
        <v>4150.2</v>
      </c>
      <c r="E8" s="137">
        <v>4150.2</v>
      </c>
      <c r="F8" s="149">
        <f>+E8/C8*100</f>
        <v>100</v>
      </c>
    </row>
    <row r="9" spans="1:12" s="62" customFormat="1" ht="31.5" x14ac:dyDescent="0.25">
      <c r="A9" s="135">
        <v>2</v>
      </c>
      <c r="B9" s="136" t="s">
        <v>225</v>
      </c>
      <c r="C9" s="141">
        <v>3567.9</v>
      </c>
      <c r="D9" s="141">
        <v>3567.9</v>
      </c>
      <c r="E9" s="141">
        <v>3567.9</v>
      </c>
      <c r="F9" s="149">
        <f t="shared" ref="F9:F14" si="0">+E9/C9*100</f>
        <v>100</v>
      </c>
    </row>
    <row r="10" spans="1:12" s="62" customFormat="1" ht="31.5" x14ac:dyDescent="0.25">
      <c r="A10" s="135">
        <v>3</v>
      </c>
      <c r="B10" s="136" t="s">
        <v>226</v>
      </c>
      <c r="C10" s="137">
        <v>3621.9</v>
      </c>
      <c r="D10" s="137">
        <v>3621.9</v>
      </c>
      <c r="E10" s="137">
        <v>3621.9</v>
      </c>
      <c r="F10" s="149">
        <f t="shared" si="0"/>
        <v>100</v>
      </c>
    </row>
    <row r="11" spans="1:12" s="62" customFormat="1" ht="31.5" x14ac:dyDescent="0.25">
      <c r="A11" s="135">
        <v>4</v>
      </c>
      <c r="B11" s="136" t="s">
        <v>337</v>
      </c>
      <c r="C11" s="137">
        <v>3775.2</v>
      </c>
      <c r="D11" s="137">
        <v>3775.2</v>
      </c>
      <c r="E11" s="137">
        <v>3775.2</v>
      </c>
      <c r="F11" s="149">
        <f t="shared" si="0"/>
        <v>100</v>
      </c>
    </row>
    <row r="12" spans="1:12" s="62" customFormat="1" ht="31.5" x14ac:dyDescent="0.25">
      <c r="A12" s="135">
        <v>5</v>
      </c>
      <c r="B12" s="136" t="s">
        <v>228</v>
      </c>
      <c r="C12" s="137">
        <v>3457.5</v>
      </c>
      <c r="D12" s="137">
        <v>3457.5</v>
      </c>
      <c r="E12" s="137">
        <v>3457.5</v>
      </c>
      <c r="F12" s="149">
        <f t="shared" si="0"/>
        <v>100</v>
      </c>
    </row>
    <row r="13" spans="1:12" s="62" customFormat="1" ht="31.5" x14ac:dyDescent="0.25">
      <c r="A13" s="135">
        <v>6</v>
      </c>
      <c r="B13" s="136" t="s">
        <v>297</v>
      </c>
      <c r="C13" s="137">
        <v>3292</v>
      </c>
      <c r="D13" s="137">
        <v>3292</v>
      </c>
      <c r="E13" s="137">
        <v>3292</v>
      </c>
      <c r="F13" s="149">
        <f t="shared" si="0"/>
        <v>100</v>
      </c>
    </row>
    <row r="14" spans="1:12" s="62" customFormat="1" ht="15.75" x14ac:dyDescent="0.25">
      <c r="A14" s="138"/>
      <c r="B14" s="139" t="s">
        <v>230</v>
      </c>
      <c r="C14" s="140">
        <f>+C13+C12+C11+C10+C9+C8</f>
        <v>21864.7</v>
      </c>
      <c r="D14" s="147">
        <f t="shared" ref="D14:E14" si="1">+D13+D12+D11+D10+D9+D8</f>
        <v>21864.7</v>
      </c>
      <c r="E14" s="140">
        <f t="shared" si="1"/>
        <v>21864.7</v>
      </c>
      <c r="F14" s="149">
        <f t="shared" si="0"/>
        <v>100</v>
      </c>
    </row>
  </sheetData>
  <mergeCells count="4">
    <mergeCell ref="A5:F5"/>
    <mergeCell ref="C1:F1"/>
    <mergeCell ref="C2:F2"/>
    <mergeCell ref="C3:F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E4" sqref="E4"/>
    </sheetView>
  </sheetViews>
  <sheetFormatPr defaultRowHeight="15" x14ac:dyDescent="0.25"/>
  <cols>
    <col min="1" max="1" width="4.42578125" style="72" customWidth="1"/>
    <col min="2" max="2" width="49.140625" style="72" customWidth="1"/>
    <col min="3" max="3" width="9.140625" style="72"/>
    <col min="4" max="4" width="7.5703125" style="72" customWidth="1"/>
    <col min="5" max="5" width="10.5703125" style="72" customWidth="1"/>
    <col min="6" max="16384" width="9.140625" style="72"/>
  </cols>
  <sheetData>
    <row r="1" spans="1:8" x14ac:dyDescent="0.25">
      <c r="A1" s="71"/>
      <c r="B1" s="71"/>
      <c r="C1" s="457"/>
      <c r="D1" s="457"/>
      <c r="E1" s="448" t="s">
        <v>336</v>
      </c>
      <c r="F1" s="448"/>
      <c r="G1" s="448"/>
      <c r="H1" s="448"/>
    </row>
    <row r="2" spans="1:8" ht="75.75" customHeight="1" x14ac:dyDescent="0.25">
      <c r="B2" s="73"/>
      <c r="C2" s="458"/>
      <c r="D2" s="458"/>
      <c r="E2" s="436" t="s">
        <v>876</v>
      </c>
      <c r="F2" s="436"/>
      <c r="G2" s="436"/>
      <c r="H2" s="436"/>
    </row>
    <row r="3" spans="1:8" ht="24" customHeight="1" x14ac:dyDescent="0.25">
      <c r="B3" s="85"/>
      <c r="C3" s="459"/>
      <c r="D3" s="460"/>
      <c r="E3" s="432" t="s">
        <v>877</v>
      </c>
      <c r="F3" s="432"/>
      <c r="G3" s="432"/>
      <c r="H3" s="432"/>
    </row>
    <row r="4" spans="1:8" x14ac:dyDescent="0.25">
      <c r="B4" s="85"/>
    </row>
    <row r="5" spans="1:8" ht="54.75" customHeight="1" x14ac:dyDescent="0.25">
      <c r="A5" s="467" t="s">
        <v>519</v>
      </c>
      <c r="B5" s="467"/>
      <c r="C5" s="467"/>
      <c r="D5" s="467"/>
      <c r="E5" s="467"/>
      <c r="F5" s="467"/>
      <c r="G5" s="467"/>
    </row>
    <row r="6" spans="1:8" x14ac:dyDescent="0.25">
      <c r="A6" s="75"/>
      <c r="B6" s="75"/>
      <c r="C6" s="76"/>
      <c r="D6" s="76"/>
      <c r="F6" s="182" t="s">
        <v>220</v>
      </c>
    </row>
    <row r="7" spans="1:8" s="79" customFormat="1" ht="25.5" x14ac:dyDescent="0.25">
      <c r="A7" s="77" t="s">
        <v>221</v>
      </c>
      <c r="B7" s="78" t="s">
        <v>222</v>
      </c>
      <c r="C7" s="461">
        <v>2020</v>
      </c>
      <c r="D7" s="461"/>
      <c r="E7" s="468" t="s">
        <v>340</v>
      </c>
      <c r="F7" s="468"/>
      <c r="G7" s="81" t="s">
        <v>338</v>
      </c>
    </row>
    <row r="8" spans="1:8" s="83" customFormat="1" ht="30" x14ac:dyDescent="0.25">
      <c r="A8" s="82">
        <v>1</v>
      </c>
      <c r="B8" s="81" t="s">
        <v>224</v>
      </c>
      <c r="C8" s="462">
        <v>198.8</v>
      </c>
      <c r="D8" s="462"/>
      <c r="E8" s="462">
        <v>198.8</v>
      </c>
      <c r="F8" s="462"/>
      <c r="G8" s="80">
        <f>+E8/C8*100</f>
        <v>100</v>
      </c>
    </row>
    <row r="9" spans="1:8" s="83" customFormat="1" ht="30" x14ac:dyDescent="0.25">
      <c r="A9" s="82">
        <v>2</v>
      </c>
      <c r="B9" s="81" t="s">
        <v>225</v>
      </c>
      <c r="C9" s="463">
        <v>116.6</v>
      </c>
      <c r="D9" s="463"/>
      <c r="E9" s="463">
        <v>116.6</v>
      </c>
      <c r="F9" s="463"/>
      <c r="G9" s="80">
        <f t="shared" ref="G9:G14" si="0">+E9/C9*100</f>
        <v>100</v>
      </c>
    </row>
    <row r="10" spans="1:8" s="83" customFormat="1" ht="30" x14ac:dyDescent="0.25">
      <c r="A10" s="82">
        <v>3</v>
      </c>
      <c r="B10" s="81" t="s">
        <v>226</v>
      </c>
      <c r="C10" s="464">
        <v>143.4</v>
      </c>
      <c r="D10" s="464"/>
      <c r="E10" s="464">
        <v>143.4</v>
      </c>
      <c r="F10" s="464"/>
      <c r="G10" s="80">
        <f t="shared" si="0"/>
        <v>100</v>
      </c>
    </row>
    <row r="11" spans="1:8" s="83" customFormat="1" ht="30" x14ac:dyDescent="0.25">
      <c r="A11" s="82">
        <v>4</v>
      </c>
      <c r="B11" s="81" t="s">
        <v>227</v>
      </c>
      <c r="C11" s="464">
        <v>143.30000000000001</v>
      </c>
      <c r="D11" s="464"/>
      <c r="E11" s="464">
        <v>143.30000000000001</v>
      </c>
      <c r="F11" s="464"/>
      <c r="G11" s="80">
        <f t="shared" si="0"/>
        <v>100</v>
      </c>
    </row>
    <row r="12" spans="1:8" s="83" customFormat="1" ht="30" x14ac:dyDescent="0.25">
      <c r="A12" s="82">
        <v>5</v>
      </c>
      <c r="B12" s="81" t="s">
        <v>228</v>
      </c>
      <c r="C12" s="464">
        <v>67.231999999999999</v>
      </c>
      <c r="D12" s="464"/>
      <c r="E12" s="464">
        <v>67.231999999999999</v>
      </c>
      <c r="F12" s="464"/>
      <c r="G12" s="80">
        <f t="shared" si="0"/>
        <v>100</v>
      </c>
    </row>
    <row r="13" spans="1:8" s="83" customFormat="1" ht="30" x14ac:dyDescent="0.25">
      <c r="A13" s="82">
        <v>6</v>
      </c>
      <c r="B13" s="81" t="s">
        <v>297</v>
      </c>
      <c r="C13" s="465">
        <v>25.7</v>
      </c>
      <c r="D13" s="466"/>
      <c r="E13" s="465">
        <v>25.7</v>
      </c>
      <c r="F13" s="466"/>
      <c r="G13" s="80">
        <f t="shared" si="0"/>
        <v>100</v>
      </c>
    </row>
    <row r="14" spans="1:8" s="83" customFormat="1" x14ac:dyDescent="0.25">
      <c r="A14" s="80"/>
      <c r="B14" s="84" t="s">
        <v>230</v>
      </c>
      <c r="C14" s="456">
        <f>+SUM(C8:C13)</f>
        <v>695.03199999999993</v>
      </c>
      <c r="D14" s="456"/>
      <c r="E14" s="456">
        <f>+SUM(E8:E13)</f>
        <v>695.03199999999993</v>
      </c>
      <c r="F14" s="456"/>
      <c r="G14" s="80">
        <f t="shared" si="0"/>
        <v>100</v>
      </c>
    </row>
  </sheetData>
  <mergeCells count="23">
    <mergeCell ref="E14:F14"/>
    <mergeCell ref="E7:F7"/>
    <mergeCell ref="E8:F8"/>
    <mergeCell ref="E9:F9"/>
    <mergeCell ref="E10:F10"/>
    <mergeCell ref="E11:F11"/>
    <mergeCell ref="E12:F12"/>
    <mergeCell ref="C14:D14"/>
    <mergeCell ref="C1:D1"/>
    <mergeCell ref="C2:D2"/>
    <mergeCell ref="C3:D3"/>
    <mergeCell ref="C7:D7"/>
    <mergeCell ref="C8:D8"/>
    <mergeCell ref="C9:D9"/>
    <mergeCell ref="C10:D10"/>
    <mergeCell ref="C11:D11"/>
    <mergeCell ref="C12:D12"/>
    <mergeCell ref="C13:D13"/>
    <mergeCell ref="A5:G5"/>
    <mergeCell ref="E1:H1"/>
    <mergeCell ref="E2:H2"/>
    <mergeCell ref="E3:H3"/>
    <mergeCell ref="E13:F13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9" sqref="B9"/>
    </sheetView>
  </sheetViews>
  <sheetFormatPr defaultColWidth="5.28515625" defaultRowHeight="15" x14ac:dyDescent="0.25"/>
  <cols>
    <col min="1" max="1" width="5.28515625" style="72"/>
    <col min="2" max="2" width="43" style="87" customWidth="1"/>
    <col min="3" max="3" width="5.28515625" style="87"/>
    <col min="4" max="4" width="9.140625" style="72" customWidth="1"/>
    <col min="5" max="5" width="8.85546875" style="72" customWidth="1"/>
    <col min="6" max="6" width="7.28515625" style="72" customWidth="1"/>
    <col min="7" max="7" width="9.140625" style="72" customWidth="1"/>
    <col min="8" max="16384" width="5.28515625" style="72"/>
  </cols>
  <sheetData>
    <row r="1" spans="1:8" x14ac:dyDescent="0.25">
      <c r="A1" s="71"/>
      <c r="B1" s="71"/>
      <c r="C1" s="470"/>
      <c r="D1" s="470"/>
      <c r="E1" s="448" t="s">
        <v>382</v>
      </c>
      <c r="F1" s="448"/>
      <c r="G1" s="448"/>
      <c r="H1" s="448"/>
    </row>
    <row r="2" spans="1:8" s="86" customFormat="1" ht="97.5" customHeight="1" x14ac:dyDescent="0.25">
      <c r="B2" s="63"/>
      <c r="C2" s="458"/>
      <c r="D2" s="458"/>
      <c r="E2" s="436" t="s">
        <v>868</v>
      </c>
      <c r="F2" s="436"/>
      <c r="G2" s="436"/>
      <c r="H2" s="436"/>
    </row>
    <row r="3" spans="1:8" ht="12" customHeight="1" x14ac:dyDescent="0.25">
      <c r="A3" s="74"/>
      <c r="B3" s="74"/>
      <c r="C3" s="459"/>
      <c r="D3" s="459"/>
      <c r="E3" s="432" t="s">
        <v>869</v>
      </c>
      <c r="F3" s="432"/>
      <c r="G3" s="432"/>
      <c r="H3" s="432"/>
    </row>
    <row r="4" spans="1:8" ht="12" customHeight="1" x14ac:dyDescent="0.25">
      <c r="A4" s="74"/>
      <c r="B4" s="74"/>
      <c r="C4" s="430"/>
      <c r="D4" s="430"/>
      <c r="E4" s="428"/>
      <c r="F4" s="428"/>
      <c r="G4" s="428"/>
      <c r="H4" s="428"/>
    </row>
    <row r="5" spans="1:8" ht="12" customHeight="1" x14ac:dyDescent="0.25">
      <c r="A5" s="74"/>
      <c r="B5" s="74"/>
      <c r="C5" s="430"/>
      <c r="D5" s="430"/>
      <c r="E5" s="428"/>
      <c r="F5" s="428"/>
      <c r="G5" s="428"/>
      <c r="H5" s="428"/>
    </row>
    <row r="6" spans="1:8" s="87" customFormat="1" ht="30" customHeight="1" x14ac:dyDescent="0.25">
      <c r="A6" s="473" t="s">
        <v>421</v>
      </c>
      <c r="B6" s="473"/>
      <c r="C6" s="473"/>
      <c r="D6" s="473"/>
      <c r="E6" s="473"/>
      <c r="F6" s="473"/>
      <c r="G6" s="473"/>
    </row>
    <row r="7" spans="1:8" s="87" customFormat="1" x14ac:dyDescent="0.25">
      <c r="A7" s="88"/>
      <c r="B7" s="88"/>
      <c r="C7" s="88"/>
    </row>
    <row r="8" spans="1:8" x14ac:dyDescent="0.25">
      <c r="C8" s="471"/>
      <c r="D8" s="471"/>
      <c r="F8" s="471" t="s">
        <v>220</v>
      </c>
      <c r="G8" s="471"/>
    </row>
    <row r="9" spans="1:8" s="79" customFormat="1" ht="25.5" x14ac:dyDescent="0.25">
      <c r="A9" s="77" t="s">
        <v>221</v>
      </c>
      <c r="B9" s="89" t="s">
        <v>222</v>
      </c>
      <c r="C9" s="461" t="s">
        <v>296</v>
      </c>
      <c r="D9" s="461"/>
      <c r="E9" s="468" t="s">
        <v>340</v>
      </c>
      <c r="F9" s="468"/>
      <c r="G9" s="81" t="s">
        <v>338</v>
      </c>
    </row>
    <row r="10" spans="1:8" s="83" customFormat="1" ht="30" x14ac:dyDescent="0.25">
      <c r="A10" s="80">
        <v>1</v>
      </c>
      <c r="B10" s="81" t="s">
        <v>224</v>
      </c>
      <c r="C10" s="462">
        <v>159.5</v>
      </c>
      <c r="D10" s="462"/>
      <c r="E10" s="462">
        <v>159.5</v>
      </c>
      <c r="F10" s="462"/>
      <c r="G10" s="80">
        <f>+E10/C10*100</f>
        <v>100</v>
      </c>
    </row>
    <row r="11" spans="1:8" s="83" customFormat="1" ht="30" x14ac:dyDescent="0.25">
      <c r="A11" s="80">
        <v>2</v>
      </c>
      <c r="B11" s="81" t="s">
        <v>225</v>
      </c>
      <c r="C11" s="472">
        <v>121.3</v>
      </c>
      <c r="D11" s="472"/>
      <c r="E11" s="472">
        <v>121.3</v>
      </c>
      <c r="F11" s="472"/>
      <c r="G11" s="80">
        <f t="shared" ref="G11:G16" si="0">+E11/C11*100</f>
        <v>100</v>
      </c>
    </row>
    <row r="12" spans="1:8" s="83" customFormat="1" ht="30" x14ac:dyDescent="0.25">
      <c r="A12" s="80">
        <v>3</v>
      </c>
      <c r="B12" s="81" t="s">
        <v>226</v>
      </c>
      <c r="C12" s="464">
        <v>159</v>
      </c>
      <c r="D12" s="464"/>
      <c r="E12" s="464">
        <v>159</v>
      </c>
      <c r="F12" s="464"/>
      <c r="G12" s="80">
        <f t="shared" si="0"/>
        <v>100</v>
      </c>
    </row>
    <row r="13" spans="1:8" s="83" customFormat="1" ht="30" x14ac:dyDescent="0.25">
      <c r="A13" s="80">
        <v>4</v>
      </c>
      <c r="B13" s="81" t="s">
        <v>227</v>
      </c>
      <c r="C13" s="464">
        <v>159</v>
      </c>
      <c r="D13" s="464"/>
      <c r="E13" s="464">
        <v>159</v>
      </c>
      <c r="F13" s="464"/>
      <c r="G13" s="80">
        <f t="shared" si="0"/>
        <v>100</v>
      </c>
    </row>
    <row r="14" spans="1:8" s="83" customFormat="1" ht="30" x14ac:dyDescent="0.25">
      <c r="A14" s="80">
        <v>5</v>
      </c>
      <c r="B14" s="81" t="s">
        <v>228</v>
      </c>
      <c r="C14" s="464">
        <v>121.3</v>
      </c>
      <c r="D14" s="464"/>
      <c r="E14" s="464">
        <v>121.3</v>
      </c>
      <c r="F14" s="464"/>
      <c r="G14" s="80">
        <f t="shared" si="0"/>
        <v>100</v>
      </c>
    </row>
    <row r="15" spans="1:8" s="83" customFormat="1" ht="30" x14ac:dyDescent="0.25">
      <c r="A15" s="80">
        <v>6</v>
      </c>
      <c r="B15" s="81" t="s">
        <v>229</v>
      </c>
      <c r="C15" s="464">
        <v>159.5</v>
      </c>
      <c r="D15" s="464"/>
      <c r="E15" s="464">
        <v>159.5</v>
      </c>
      <c r="F15" s="464"/>
      <c r="G15" s="80">
        <f t="shared" si="0"/>
        <v>100</v>
      </c>
    </row>
    <row r="16" spans="1:8" s="83" customFormat="1" x14ac:dyDescent="0.25">
      <c r="A16" s="80"/>
      <c r="B16" s="78" t="s">
        <v>230</v>
      </c>
      <c r="C16" s="469">
        <f>SUM(C10:C15)</f>
        <v>879.59999999999991</v>
      </c>
      <c r="D16" s="469"/>
      <c r="E16" s="469">
        <f>SUM(E10:E15)</f>
        <v>879.59999999999991</v>
      </c>
      <c r="F16" s="469"/>
      <c r="G16" s="80">
        <f t="shared" si="0"/>
        <v>100</v>
      </c>
    </row>
    <row r="17" spans="4:4" x14ac:dyDescent="0.25">
      <c r="D17" s="83"/>
    </row>
  </sheetData>
  <mergeCells count="25">
    <mergeCell ref="E3:H3"/>
    <mergeCell ref="E15:F15"/>
    <mergeCell ref="E16:F16"/>
    <mergeCell ref="E9:F9"/>
    <mergeCell ref="E10:F10"/>
    <mergeCell ref="E11:F11"/>
    <mergeCell ref="E12:F12"/>
    <mergeCell ref="E13:F13"/>
    <mergeCell ref="E14:F14"/>
    <mergeCell ref="C16:D16"/>
    <mergeCell ref="C1:D1"/>
    <mergeCell ref="C2:D2"/>
    <mergeCell ref="C9:D9"/>
    <mergeCell ref="C10:D10"/>
    <mergeCell ref="C8:D8"/>
    <mergeCell ref="C11:D11"/>
    <mergeCell ref="C12:D12"/>
    <mergeCell ref="C13:D13"/>
    <mergeCell ref="C14:D14"/>
    <mergeCell ref="C15:D15"/>
    <mergeCell ref="C3:D3"/>
    <mergeCell ref="A6:G6"/>
    <mergeCell ref="F8:G8"/>
    <mergeCell ref="E1:H1"/>
    <mergeCell ref="E2:H2"/>
  </mergeCells>
  <printOptions horizontalCentered="1"/>
  <pageMargins left="0.9055118110236221" right="0.5118110236220472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0" zoomScaleNormal="70" workbookViewId="0">
      <selection activeCell="A2" sqref="A2:I2"/>
    </sheetView>
  </sheetViews>
  <sheetFormatPr defaultRowHeight="12.75" x14ac:dyDescent="0.2"/>
  <cols>
    <col min="1" max="1" width="9.140625" style="258"/>
    <col min="2" max="2" width="80.85546875" style="258" customWidth="1"/>
    <col min="3" max="4" width="20.5703125" style="258" hidden="1" customWidth="1"/>
    <col min="5" max="9" width="20.5703125" style="258" customWidth="1"/>
    <col min="10" max="228" width="9.140625" style="258"/>
    <col min="229" max="229" width="80.85546875" style="258" customWidth="1"/>
    <col min="230" max="235" width="0" style="258" hidden="1" customWidth="1"/>
    <col min="236" max="236" width="21.42578125" style="258" customWidth="1"/>
    <col min="237" max="241" width="0" style="258" hidden="1" customWidth="1"/>
    <col min="242" max="243" width="18.85546875" style="258" customWidth="1"/>
    <col min="244" max="244" width="21" style="258" customWidth="1"/>
    <col min="245" max="245" width="26.7109375" style="258" customWidth="1"/>
    <col min="246" max="246" width="22.5703125" style="258" customWidth="1"/>
    <col min="247" max="247" width="20.140625" style="258" customWidth="1"/>
    <col min="248" max="248" width="9.140625" style="258"/>
    <col min="249" max="249" width="11" style="258" bestFit="1" customWidth="1"/>
    <col min="250" max="484" width="9.140625" style="258"/>
    <col min="485" max="485" width="80.85546875" style="258" customWidth="1"/>
    <col min="486" max="491" width="0" style="258" hidden="1" customWidth="1"/>
    <col min="492" max="492" width="21.42578125" style="258" customWidth="1"/>
    <col min="493" max="497" width="0" style="258" hidden="1" customWidth="1"/>
    <col min="498" max="499" width="18.85546875" style="258" customWidth="1"/>
    <col min="500" max="500" width="21" style="258" customWidth="1"/>
    <col min="501" max="501" width="26.7109375" style="258" customWidth="1"/>
    <col min="502" max="502" width="22.5703125" style="258" customWidth="1"/>
    <col min="503" max="503" width="20.140625" style="258" customWidth="1"/>
    <col min="504" max="504" width="9.140625" style="258"/>
    <col min="505" max="505" width="11" style="258" bestFit="1" customWidth="1"/>
    <col min="506" max="740" width="9.140625" style="258"/>
    <col min="741" max="741" width="80.85546875" style="258" customWidth="1"/>
    <col min="742" max="747" width="0" style="258" hidden="1" customWidth="1"/>
    <col min="748" max="748" width="21.42578125" style="258" customWidth="1"/>
    <col min="749" max="753" width="0" style="258" hidden="1" customWidth="1"/>
    <col min="754" max="755" width="18.85546875" style="258" customWidth="1"/>
    <col min="756" max="756" width="21" style="258" customWidth="1"/>
    <col min="757" max="757" width="26.7109375" style="258" customWidth="1"/>
    <col min="758" max="758" width="22.5703125" style="258" customWidth="1"/>
    <col min="759" max="759" width="20.140625" style="258" customWidth="1"/>
    <col min="760" max="760" width="9.140625" style="258"/>
    <col min="761" max="761" width="11" style="258" bestFit="1" customWidth="1"/>
    <col min="762" max="996" width="9.140625" style="258"/>
    <col min="997" max="997" width="80.85546875" style="258" customWidth="1"/>
    <col min="998" max="1003" width="0" style="258" hidden="1" customWidth="1"/>
    <col min="1004" max="1004" width="21.42578125" style="258" customWidth="1"/>
    <col min="1005" max="1009" width="0" style="258" hidden="1" customWidth="1"/>
    <col min="1010" max="1011" width="18.85546875" style="258" customWidth="1"/>
    <col min="1012" max="1012" width="21" style="258" customWidth="1"/>
    <col min="1013" max="1013" width="26.7109375" style="258" customWidth="1"/>
    <col min="1014" max="1014" width="22.5703125" style="258" customWidth="1"/>
    <col min="1015" max="1015" width="20.140625" style="258" customWidth="1"/>
    <col min="1016" max="1016" width="9.140625" style="258"/>
    <col min="1017" max="1017" width="11" style="258" bestFit="1" customWidth="1"/>
    <col min="1018" max="1252" width="9.140625" style="258"/>
    <col min="1253" max="1253" width="80.85546875" style="258" customWidth="1"/>
    <col min="1254" max="1259" width="0" style="258" hidden="1" customWidth="1"/>
    <col min="1260" max="1260" width="21.42578125" style="258" customWidth="1"/>
    <col min="1261" max="1265" width="0" style="258" hidden="1" customWidth="1"/>
    <col min="1266" max="1267" width="18.85546875" style="258" customWidth="1"/>
    <col min="1268" max="1268" width="21" style="258" customWidth="1"/>
    <col min="1269" max="1269" width="26.7109375" style="258" customWidth="1"/>
    <col min="1270" max="1270" width="22.5703125" style="258" customWidth="1"/>
    <col min="1271" max="1271" width="20.140625" style="258" customWidth="1"/>
    <col min="1272" max="1272" width="9.140625" style="258"/>
    <col min="1273" max="1273" width="11" style="258" bestFit="1" customWidth="1"/>
    <col min="1274" max="1508" width="9.140625" style="258"/>
    <col min="1509" max="1509" width="80.85546875" style="258" customWidth="1"/>
    <col min="1510" max="1515" width="0" style="258" hidden="1" customWidth="1"/>
    <col min="1516" max="1516" width="21.42578125" style="258" customWidth="1"/>
    <col min="1517" max="1521" width="0" style="258" hidden="1" customWidth="1"/>
    <col min="1522" max="1523" width="18.85546875" style="258" customWidth="1"/>
    <col min="1524" max="1524" width="21" style="258" customWidth="1"/>
    <col min="1525" max="1525" width="26.7109375" style="258" customWidth="1"/>
    <col min="1526" max="1526" width="22.5703125" style="258" customWidth="1"/>
    <col min="1527" max="1527" width="20.140625" style="258" customWidth="1"/>
    <col min="1528" max="1528" width="9.140625" style="258"/>
    <col min="1529" max="1529" width="11" style="258" bestFit="1" customWidth="1"/>
    <col min="1530" max="1764" width="9.140625" style="258"/>
    <col min="1765" max="1765" width="80.85546875" style="258" customWidth="1"/>
    <col min="1766" max="1771" width="0" style="258" hidden="1" customWidth="1"/>
    <col min="1772" max="1772" width="21.42578125" style="258" customWidth="1"/>
    <col min="1773" max="1777" width="0" style="258" hidden="1" customWidth="1"/>
    <col min="1778" max="1779" width="18.85546875" style="258" customWidth="1"/>
    <col min="1780" max="1780" width="21" style="258" customWidth="1"/>
    <col min="1781" max="1781" width="26.7109375" style="258" customWidth="1"/>
    <col min="1782" max="1782" width="22.5703125" style="258" customWidth="1"/>
    <col min="1783" max="1783" width="20.140625" style="258" customWidth="1"/>
    <col min="1784" max="1784" width="9.140625" style="258"/>
    <col min="1785" max="1785" width="11" style="258" bestFit="1" customWidth="1"/>
    <col min="1786" max="2020" width="9.140625" style="258"/>
    <col min="2021" max="2021" width="80.85546875" style="258" customWidth="1"/>
    <col min="2022" max="2027" width="0" style="258" hidden="1" customWidth="1"/>
    <col min="2028" max="2028" width="21.42578125" style="258" customWidth="1"/>
    <col min="2029" max="2033" width="0" style="258" hidden="1" customWidth="1"/>
    <col min="2034" max="2035" width="18.85546875" style="258" customWidth="1"/>
    <col min="2036" max="2036" width="21" style="258" customWidth="1"/>
    <col min="2037" max="2037" width="26.7109375" style="258" customWidth="1"/>
    <col min="2038" max="2038" width="22.5703125" style="258" customWidth="1"/>
    <col min="2039" max="2039" width="20.140625" style="258" customWidth="1"/>
    <col min="2040" max="2040" width="9.140625" style="258"/>
    <col min="2041" max="2041" width="11" style="258" bestFit="1" customWidth="1"/>
    <col min="2042" max="2276" width="9.140625" style="258"/>
    <col min="2277" max="2277" width="80.85546875" style="258" customWidth="1"/>
    <col min="2278" max="2283" width="0" style="258" hidden="1" customWidth="1"/>
    <col min="2284" max="2284" width="21.42578125" style="258" customWidth="1"/>
    <col min="2285" max="2289" width="0" style="258" hidden="1" customWidth="1"/>
    <col min="2290" max="2291" width="18.85546875" style="258" customWidth="1"/>
    <col min="2292" max="2292" width="21" style="258" customWidth="1"/>
    <col min="2293" max="2293" width="26.7109375" style="258" customWidth="1"/>
    <col min="2294" max="2294" width="22.5703125" style="258" customWidth="1"/>
    <col min="2295" max="2295" width="20.140625" style="258" customWidth="1"/>
    <col min="2296" max="2296" width="9.140625" style="258"/>
    <col min="2297" max="2297" width="11" style="258" bestFit="1" customWidth="1"/>
    <col min="2298" max="2532" width="9.140625" style="258"/>
    <col min="2533" max="2533" width="80.85546875" style="258" customWidth="1"/>
    <col min="2534" max="2539" width="0" style="258" hidden="1" customWidth="1"/>
    <col min="2540" max="2540" width="21.42578125" style="258" customWidth="1"/>
    <col min="2541" max="2545" width="0" style="258" hidden="1" customWidth="1"/>
    <col min="2546" max="2547" width="18.85546875" style="258" customWidth="1"/>
    <col min="2548" max="2548" width="21" style="258" customWidth="1"/>
    <col min="2549" max="2549" width="26.7109375" style="258" customWidth="1"/>
    <col min="2550" max="2550" width="22.5703125" style="258" customWidth="1"/>
    <col min="2551" max="2551" width="20.140625" style="258" customWidth="1"/>
    <col min="2552" max="2552" width="9.140625" style="258"/>
    <col min="2553" max="2553" width="11" style="258" bestFit="1" customWidth="1"/>
    <col min="2554" max="2788" width="9.140625" style="258"/>
    <col min="2789" max="2789" width="80.85546875" style="258" customWidth="1"/>
    <col min="2790" max="2795" width="0" style="258" hidden="1" customWidth="1"/>
    <col min="2796" max="2796" width="21.42578125" style="258" customWidth="1"/>
    <col min="2797" max="2801" width="0" style="258" hidden="1" customWidth="1"/>
    <col min="2802" max="2803" width="18.85546875" style="258" customWidth="1"/>
    <col min="2804" max="2804" width="21" style="258" customWidth="1"/>
    <col min="2805" max="2805" width="26.7109375" style="258" customWidth="1"/>
    <col min="2806" max="2806" width="22.5703125" style="258" customWidth="1"/>
    <col min="2807" max="2807" width="20.140625" style="258" customWidth="1"/>
    <col min="2808" max="2808" width="9.140625" style="258"/>
    <col min="2809" max="2809" width="11" style="258" bestFit="1" customWidth="1"/>
    <col min="2810" max="3044" width="9.140625" style="258"/>
    <col min="3045" max="3045" width="80.85546875" style="258" customWidth="1"/>
    <col min="3046" max="3051" width="0" style="258" hidden="1" customWidth="1"/>
    <col min="3052" max="3052" width="21.42578125" style="258" customWidth="1"/>
    <col min="3053" max="3057" width="0" style="258" hidden="1" customWidth="1"/>
    <col min="3058" max="3059" width="18.85546875" style="258" customWidth="1"/>
    <col min="3060" max="3060" width="21" style="258" customWidth="1"/>
    <col min="3061" max="3061" width="26.7109375" style="258" customWidth="1"/>
    <col min="3062" max="3062" width="22.5703125" style="258" customWidth="1"/>
    <col min="3063" max="3063" width="20.140625" style="258" customWidth="1"/>
    <col min="3064" max="3064" width="9.140625" style="258"/>
    <col min="3065" max="3065" width="11" style="258" bestFit="1" customWidth="1"/>
    <col min="3066" max="3300" width="9.140625" style="258"/>
    <col min="3301" max="3301" width="80.85546875" style="258" customWidth="1"/>
    <col min="3302" max="3307" width="0" style="258" hidden="1" customWidth="1"/>
    <col min="3308" max="3308" width="21.42578125" style="258" customWidth="1"/>
    <col min="3309" max="3313" width="0" style="258" hidden="1" customWidth="1"/>
    <col min="3314" max="3315" width="18.85546875" style="258" customWidth="1"/>
    <col min="3316" max="3316" width="21" style="258" customWidth="1"/>
    <col min="3317" max="3317" width="26.7109375" style="258" customWidth="1"/>
    <col min="3318" max="3318" width="22.5703125" style="258" customWidth="1"/>
    <col min="3319" max="3319" width="20.140625" style="258" customWidth="1"/>
    <col min="3320" max="3320" width="9.140625" style="258"/>
    <col min="3321" max="3321" width="11" style="258" bestFit="1" customWidth="1"/>
    <col min="3322" max="3556" width="9.140625" style="258"/>
    <col min="3557" max="3557" width="80.85546875" style="258" customWidth="1"/>
    <col min="3558" max="3563" width="0" style="258" hidden="1" customWidth="1"/>
    <col min="3564" max="3564" width="21.42578125" style="258" customWidth="1"/>
    <col min="3565" max="3569" width="0" style="258" hidden="1" customWidth="1"/>
    <col min="3570" max="3571" width="18.85546875" style="258" customWidth="1"/>
    <col min="3572" max="3572" width="21" style="258" customWidth="1"/>
    <col min="3573" max="3573" width="26.7109375" style="258" customWidth="1"/>
    <col min="3574" max="3574" width="22.5703125" style="258" customWidth="1"/>
    <col min="3575" max="3575" width="20.140625" style="258" customWidth="1"/>
    <col min="3576" max="3576" width="9.140625" style="258"/>
    <col min="3577" max="3577" width="11" style="258" bestFit="1" customWidth="1"/>
    <col min="3578" max="3812" width="9.140625" style="258"/>
    <col min="3813" max="3813" width="80.85546875" style="258" customWidth="1"/>
    <col min="3814" max="3819" width="0" style="258" hidden="1" customWidth="1"/>
    <col min="3820" max="3820" width="21.42578125" style="258" customWidth="1"/>
    <col min="3821" max="3825" width="0" style="258" hidden="1" customWidth="1"/>
    <col min="3826" max="3827" width="18.85546875" style="258" customWidth="1"/>
    <col min="3828" max="3828" width="21" style="258" customWidth="1"/>
    <col min="3829" max="3829" width="26.7109375" style="258" customWidth="1"/>
    <col min="3830" max="3830" width="22.5703125" style="258" customWidth="1"/>
    <col min="3831" max="3831" width="20.140625" style="258" customWidth="1"/>
    <col min="3832" max="3832" width="9.140625" style="258"/>
    <col min="3833" max="3833" width="11" style="258" bestFit="1" customWidth="1"/>
    <col min="3834" max="4068" width="9.140625" style="258"/>
    <col min="4069" max="4069" width="80.85546875" style="258" customWidth="1"/>
    <col min="4070" max="4075" width="0" style="258" hidden="1" customWidth="1"/>
    <col min="4076" max="4076" width="21.42578125" style="258" customWidth="1"/>
    <col min="4077" max="4081" width="0" style="258" hidden="1" customWidth="1"/>
    <col min="4082" max="4083" width="18.85546875" style="258" customWidth="1"/>
    <col min="4084" max="4084" width="21" style="258" customWidth="1"/>
    <col min="4085" max="4085" width="26.7109375" style="258" customWidth="1"/>
    <col min="4086" max="4086" width="22.5703125" style="258" customWidth="1"/>
    <col min="4087" max="4087" width="20.140625" style="258" customWidth="1"/>
    <col min="4088" max="4088" width="9.140625" style="258"/>
    <col min="4089" max="4089" width="11" style="258" bestFit="1" customWidth="1"/>
    <col min="4090" max="4324" width="9.140625" style="258"/>
    <col min="4325" max="4325" width="80.85546875" style="258" customWidth="1"/>
    <col min="4326" max="4331" width="0" style="258" hidden="1" customWidth="1"/>
    <col min="4332" max="4332" width="21.42578125" style="258" customWidth="1"/>
    <col min="4333" max="4337" width="0" style="258" hidden="1" customWidth="1"/>
    <col min="4338" max="4339" width="18.85546875" style="258" customWidth="1"/>
    <col min="4340" max="4340" width="21" style="258" customWidth="1"/>
    <col min="4341" max="4341" width="26.7109375" style="258" customWidth="1"/>
    <col min="4342" max="4342" width="22.5703125" style="258" customWidth="1"/>
    <col min="4343" max="4343" width="20.140625" style="258" customWidth="1"/>
    <col min="4344" max="4344" width="9.140625" style="258"/>
    <col min="4345" max="4345" width="11" style="258" bestFit="1" customWidth="1"/>
    <col min="4346" max="4580" width="9.140625" style="258"/>
    <col min="4581" max="4581" width="80.85546875" style="258" customWidth="1"/>
    <col min="4582" max="4587" width="0" style="258" hidden="1" customWidth="1"/>
    <col min="4588" max="4588" width="21.42578125" style="258" customWidth="1"/>
    <col min="4589" max="4593" width="0" style="258" hidden="1" customWidth="1"/>
    <col min="4594" max="4595" width="18.85546875" style="258" customWidth="1"/>
    <col min="4596" max="4596" width="21" style="258" customWidth="1"/>
    <col min="4597" max="4597" width="26.7109375" style="258" customWidth="1"/>
    <col min="4598" max="4598" width="22.5703125" style="258" customWidth="1"/>
    <col min="4599" max="4599" width="20.140625" style="258" customWidth="1"/>
    <col min="4600" max="4600" width="9.140625" style="258"/>
    <col min="4601" max="4601" width="11" style="258" bestFit="1" customWidth="1"/>
    <col min="4602" max="4836" width="9.140625" style="258"/>
    <col min="4837" max="4837" width="80.85546875" style="258" customWidth="1"/>
    <col min="4838" max="4843" width="0" style="258" hidden="1" customWidth="1"/>
    <col min="4844" max="4844" width="21.42578125" style="258" customWidth="1"/>
    <col min="4845" max="4849" width="0" style="258" hidden="1" customWidth="1"/>
    <col min="4850" max="4851" width="18.85546875" style="258" customWidth="1"/>
    <col min="4852" max="4852" width="21" style="258" customWidth="1"/>
    <col min="4853" max="4853" width="26.7109375" style="258" customWidth="1"/>
    <col min="4854" max="4854" width="22.5703125" style="258" customWidth="1"/>
    <col min="4855" max="4855" width="20.140625" style="258" customWidth="1"/>
    <col min="4856" max="4856" width="9.140625" style="258"/>
    <col min="4857" max="4857" width="11" style="258" bestFit="1" customWidth="1"/>
    <col min="4858" max="5092" width="9.140625" style="258"/>
    <col min="5093" max="5093" width="80.85546875" style="258" customWidth="1"/>
    <col min="5094" max="5099" width="0" style="258" hidden="1" customWidth="1"/>
    <col min="5100" max="5100" width="21.42578125" style="258" customWidth="1"/>
    <col min="5101" max="5105" width="0" style="258" hidden="1" customWidth="1"/>
    <col min="5106" max="5107" width="18.85546875" style="258" customWidth="1"/>
    <col min="5108" max="5108" width="21" style="258" customWidth="1"/>
    <col min="5109" max="5109" width="26.7109375" style="258" customWidth="1"/>
    <col min="5110" max="5110" width="22.5703125" style="258" customWidth="1"/>
    <col min="5111" max="5111" width="20.140625" style="258" customWidth="1"/>
    <col min="5112" max="5112" width="9.140625" style="258"/>
    <col min="5113" max="5113" width="11" style="258" bestFit="1" customWidth="1"/>
    <col min="5114" max="5348" width="9.140625" style="258"/>
    <col min="5349" max="5349" width="80.85546875" style="258" customWidth="1"/>
    <col min="5350" max="5355" width="0" style="258" hidden="1" customWidth="1"/>
    <col min="5356" max="5356" width="21.42578125" style="258" customWidth="1"/>
    <col min="5357" max="5361" width="0" style="258" hidden="1" customWidth="1"/>
    <col min="5362" max="5363" width="18.85546875" style="258" customWidth="1"/>
    <col min="5364" max="5364" width="21" style="258" customWidth="1"/>
    <col min="5365" max="5365" width="26.7109375" style="258" customWidth="1"/>
    <col min="5366" max="5366" width="22.5703125" style="258" customWidth="1"/>
    <col min="5367" max="5367" width="20.140625" style="258" customWidth="1"/>
    <col min="5368" max="5368" width="9.140625" style="258"/>
    <col min="5369" max="5369" width="11" style="258" bestFit="1" customWidth="1"/>
    <col min="5370" max="5604" width="9.140625" style="258"/>
    <col min="5605" max="5605" width="80.85546875" style="258" customWidth="1"/>
    <col min="5606" max="5611" width="0" style="258" hidden="1" customWidth="1"/>
    <col min="5612" max="5612" width="21.42578125" style="258" customWidth="1"/>
    <col min="5613" max="5617" width="0" style="258" hidden="1" customWidth="1"/>
    <col min="5618" max="5619" width="18.85546875" style="258" customWidth="1"/>
    <col min="5620" max="5620" width="21" style="258" customWidth="1"/>
    <col min="5621" max="5621" width="26.7109375" style="258" customWidth="1"/>
    <col min="5622" max="5622" width="22.5703125" style="258" customWidth="1"/>
    <col min="5623" max="5623" width="20.140625" style="258" customWidth="1"/>
    <col min="5624" max="5624" width="9.140625" style="258"/>
    <col min="5625" max="5625" width="11" style="258" bestFit="1" customWidth="1"/>
    <col min="5626" max="5860" width="9.140625" style="258"/>
    <col min="5861" max="5861" width="80.85546875" style="258" customWidth="1"/>
    <col min="5862" max="5867" width="0" style="258" hidden="1" customWidth="1"/>
    <col min="5868" max="5868" width="21.42578125" style="258" customWidth="1"/>
    <col min="5869" max="5873" width="0" style="258" hidden="1" customWidth="1"/>
    <col min="5874" max="5875" width="18.85546875" style="258" customWidth="1"/>
    <col min="5876" max="5876" width="21" style="258" customWidth="1"/>
    <col min="5877" max="5877" width="26.7109375" style="258" customWidth="1"/>
    <col min="5878" max="5878" width="22.5703125" style="258" customWidth="1"/>
    <col min="5879" max="5879" width="20.140625" style="258" customWidth="1"/>
    <col min="5880" max="5880" width="9.140625" style="258"/>
    <col min="5881" max="5881" width="11" style="258" bestFit="1" customWidth="1"/>
    <col min="5882" max="6116" width="9.140625" style="258"/>
    <col min="6117" max="6117" width="80.85546875" style="258" customWidth="1"/>
    <col min="6118" max="6123" width="0" style="258" hidden="1" customWidth="1"/>
    <col min="6124" max="6124" width="21.42578125" style="258" customWidth="1"/>
    <col min="6125" max="6129" width="0" style="258" hidden="1" customWidth="1"/>
    <col min="6130" max="6131" width="18.85546875" style="258" customWidth="1"/>
    <col min="6132" max="6132" width="21" style="258" customWidth="1"/>
    <col min="6133" max="6133" width="26.7109375" style="258" customWidth="1"/>
    <col min="6134" max="6134" width="22.5703125" style="258" customWidth="1"/>
    <col min="6135" max="6135" width="20.140625" style="258" customWidth="1"/>
    <col min="6136" max="6136" width="9.140625" style="258"/>
    <col min="6137" max="6137" width="11" style="258" bestFit="1" customWidth="1"/>
    <col min="6138" max="6372" width="9.140625" style="258"/>
    <col min="6373" max="6373" width="80.85546875" style="258" customWidth="1"/>
    <col min="6374" max="6379" width="0" style="258" hidden="1" customWidth="1"/>
    <col min="6380" max="6380" width="21.42578125" style="258" customWidth="1"/>
    <col min="6381" max="6385" width="0" style="258" hidden="1" customWidth="1"/>
    <col min="6386" max="6387" width="18.85546875" style="258" customWidth="1"/>
    <col min="6388" max="6388" width="21" style="258" customWidth="1"/>
    <col min="6389" max="6389" width="26.7109375" style="258" customWidth="1"/>
    <col min="6390" max="6390" width="22.5703125" style="258" customWidth="1"/>
    <col min="6391" max="6391" width="20.140625" style="258" customWidth="1"/>
    <col min="6392" max="6392" width="9.140625" style="258"/>
    <col min="6393" max="6393" width="11" style="258" bestFit="1" customWidth="1"/>
    <col min="6394" max="6628" width="9.140625" style="258"/>
    <col min="6629" max="6629" width="80.85546875" style="258" customWidth="1"/>
    <col min="6630" max="6635" width="0" style="258" hidden="1" customWidth="1"/>
    <col min="6636" max="6636" width="21.42578125" style="258" customWidth="1"/>
    <col min="6637" max="6641" width="0" style="258" hidden="1" customWidth="1"/>
    <col min="6642" max="6643" width="18.85546875" style="258" customWidth="1"/>
    <col min="6644" max="6644" width="21" style="258" customWidth="1"/>
    <col min="6645" max="6645" width="26.7109375" style="258" customWidth="1"/>
    <col min="6646" max="6646" width="22.5703125" style="258" customWidth="1"/>
    <col min="6647" max="6647" width="20.140625" style="258" customWidth="1"/>
    <col min="6648" max="6648" width="9.140625" style="258"/>
    <col min="6649" max="6649" width="11" style="258" bestFit="1" customWidth="1"/>
    <col min="6650" max="6884" width="9.140625" style="258"/>
    <col min="6885" max="6885" width="80.85546875" style="258" customWidth="1"/>
    <col min="6886" max="6891" width="0" style="258" hidden="1" customWidth="1"/>
    <col min="6892" max="6892" width="21.42578125" style="258" customWidth="1"/>
    <col min="6893" max="6897" width="0" style="258" hidden="1" customWidth="1"/>
    <col min="6898" max="6899" width="18.85546875" style="258" customWidth="1"/>
    <col min="6900" max="6900" width="21" style="258" customWidth="1"/>
    <col min="6901" max="6901" width="26.7109375" style="258" customWidth="1"/>
    <col min="6902" max="6902" width="22.5703125" style="258" customWidth="1"/>
    <col min="6903" max="6903" width="20.140625" style="258" customWidth="1"/>
    <col min="6904" max="6904" width="9.140625" style="258"/>
    <col min="6905" max="6905" width="11" style="258" bestFit="1" customWidth="1"/>
    <col min="6906" max="7140" width="9.140625" style="258"/>
    <col min="7141" max="7141" width="80.85546875" style="258" customWidth="1"/>
    <col min="7142" max="7147" width="0" style="258" hidden="1" customWidth="1"/>
    <col min="7148" max="7148" width="21.42578125" style="258" customWidth="1"/>
    <col min="7149" max="7153" width="0" style="258" hidden="1" customWidth="1"/>
    <col min="7154" max="7155" width="18.85546875" style="258" customWidth="1"/>
    <col min="7156" max="7156" width="21" style="258" customWidth="1"/>
    <col min="7157" max="7157" width="26.7109375" style="258" customWidth="1"/>
    <col min="7158" max="7158" width="22.5703125" style="258" customWidth="1"/>
    <col min="7159" max="7159" width="20.140625" style="258" customWidth="1"/>
    <col min="7160" max="7160" width="9.140625" style="258"/>
    <col min="7161" max="7161" width="11" style="258" bestFit="1" customWidth="1"/>
    <col min="7162" max="7396" width="9.140625" style="258"/>
    <col min="7397" max="7397" width="80.85546875" style="258" customWidth="1"/>
    <col min="7398" max="7403" width="0" style="258" hidden="1" customWidth="1"/>
    <col min="7404" max="7404" width="21.42578125" style="258" customWidth="1"/>
    <col min="7405" max="7409" width="0" style="258" hidden="1" customWidth="1"/>
    <col min="7410" max="7411" width="18.85546875" style="258" customWidth="1"/>
    <col min="7412" max="7412" width="21" style="258" customWidth="1"/>
    <col min="7413" max="7413" width="26.7109375" style="258" customWidth="1"/>
    <col min="7414" max="7414" width="22.5703125" style="258" customWidth="1"/>
    <col min="7415" max="7415" width="20.140625" style="258" customWidth="1"/>
    <col min="7416" max="7416" width="9.140625" style="258"/>
    <col min="7417" max="7417" width="11" style="258" bestFit="1" customWidth="1"/>
    <col min="7418" max="7652" width="9.140625" style="258"/>
    <col min="7653" max="7653" width="80.85546875" style="258" customWidth="1"/>
    <col min="7654" max="7659" width="0" style="258" hidden="1" customWidth="1"/>
    <col min="7660" max="7660" width="21.42578125" style="258" customWidth="1"/>
    <col min="7661" max="7665" width="0" style="258" hidden="1" customWidth="1"/>
    <col min="7666" max="7667" width="18.85546875" style="258" customWidth="1"/>
    <col min="7668" max="7668" width="21" style="258" customWidth="1"/>
    <col min="7669" max="7669" width="26.7109375" style="258" customWidth="1"/>
    <col min="7670" max="7670" width="22.5703125" style="258" customWidth="1"/>
    <col min="7671" max="7671" width="20.140625" style="258" customWidth="1"/>
    <col min="7672" max="7672" width="9.140625" style="258"/>
    <col min="7673" max="7673" width="11" style="258" bestFit="1" customWidth="1"/>
    <col min="7674" max="7908" width="9.140625" style="258"/>
    <col min="7909" max="7909" width="80.85546875" style="258" customWidth="1"/>
    <col min="7910" max="7915" width="0" style="258" hidden="1" customWidth="1"/>
    <col min="7916" max="7916" width="21.42578125" style="258" customWidth="1"/>
    <col min="7917" max="7921" width="0" style="258" hidden="1" customWidth="1"/>
    <col min="7922" max="7923" width="18.85546875" style="258" customWidth="1"/>
    <col min="7924" max="7924" width="21" style="258" customWidth="1"/>
    <col min="7925" max="7925" width="26.7109375" style="258" customWidth="1"/>
    <col min="7926" max="7926" width="22.5703125" style="258" customWidth="1"/>
    <col min="7927" max="7927" width="20.140625" style="258" customWidth="1"/>
    <col min="7928" max="7928" width="9.140625" style="258"/>
    <col min="7929" max="7929" width="11" style="258" bestFit="1" customWidth="1"/>
    <col min="7930" max="8164" width="9.140625" style="258"/>
    <col min="8165" max="8165" width="80.85546875" style="258" customWidth="1"/>
    <col min="8166" max="8171" width="0" style="258" hidden="1" customWidth="1"/>
    <col min="8172" max="8172" width="21.42578125" style="258" customWidth="1"/>
    <col min="8173" max="8177" width="0" style="258" hidden="1" customWidth="1"/>
    <col min="8178" max="8179" width="18.85546875" style="258" customWidth="1"/>
    <col min="8180" max="8180" width="21" style="258" customWidth="1"/>
    <col min="8181" max="8181" width="26.7109375" style="258" customWidth="1"/>
    <col min="8182" max="8182" width="22.5703125" style="258" customWidth="1"/>
    <col min="8183" max="8183" width="20.140625" style="258" customWidth="1"/>
    <col min="8184" max="8184" width="9.140625" style="258"/>
    <col min="8185" max="8185" width="11" style="258" bestFit="1" customWidth="1"/>
    <col min="8186" max="8420" width="9.140625" style="258"/>
    <col min="8421" max="8421" width="80.85546875" style="258" customWidth="1"/>
    <col min="8422" max="8427" width="0" style="258" hidden="1" customWidth="1"/>
    <col min="8428" max="8428" width="21.42578125" style="258" customWidth="1"/>
    <col min="8429" max="8433" width="0" style="258" hidden="1" customWidth="1"/>
    <col min="8434" max="8435" width="18.85546875" style="258" customWidth="1"/>
    <col min="8436" max="8436" width="21" style="258" customWidth="1"/>
    <col min="8437" max="8437" width="26.7109375" style="258" customWidth="1"/>
    <col min="8438" max="8438" width="22.5703125" style="258" customWidth="1"/>
    <col min="8439" max="8439" width="20.140625" style="258" customWidth="1"/>
    <col min="8440" max="8440" width="9.140625" style="258"/>
    <col min="8441" max="8441" width="11" style="258" bestFit="1" customWidth="1"/>
    <col min="8442" max="8676" width="9.140625" style="258"/>
    <col min="8677" max="8677" width="80.85546875" style="258" customWidth="1"/>
    <col min="8678" max="8683" width="0" style="258" hidden="1" customWidth="1"/>
    <col min="8684" max="8684" width="21.42578125" style="258" customWidth="1"/>
    <col min="8685" max="8689" width="0" style="258" hidden="1" customWidth="1"/>
    <col min="8690" max="8691" width="18.85546875" style="258" customWidth="1"/>
    <col min="8692" max="8692" width="21" style="258" customWidth="1"/>
    <col min="8693" max="8693" width="26.7109375" style="258" customWidth="1"/>
    <col min="8694" max="8694" width="22.5703125" style="258" customWidth="1"/>
    <col min="8695" max="8695" width="20.140625" style="258" customWidth="1"/>
    <col min="8696" max="8696" width="9.140625" style="258"/>
    <col min="8697" max="8697" width="11" style="258" bestFit="1" customWidth="1"/>
    <col min="8698" max="8932" width="9.140625" style="258"/>
    <col min="8933" max="8933" width="80.85546875" style="258" customWidth="1"/>
    <col min="8934" max="8939" width="0" style="258" hidden="1" customWidth="1"/>
    <col min="8940" max="8940" width="21.42578125" style="258" customWidth="1"/>
    <col min="8941" max="8945" width="0" style="258" hidden="1" customWidth="1"/>
    <col min="8946" max="8947" width="18.85546875" style="258" customWidth="1"/>
    <col min="8948" max="8948" width="21" style="258" customWidth="1"/>
    <col min="8949" max="8949" width="26.7109375" style="258" customWidth="1"/>
    <col min="8950" max="8950" width="22.5703125" style="258" customWidth="1"/>
    <col min="8951" max="8951" width="20.140625" style="258" customWidth="1"/>
    <col min="8952" max="8952" width="9.140625" style="258"/>
    <col min="8953" max="8953" width="11" style="258" bestFit="1" customWidth="1"/>
    <col min="8954" max="9188" width="9.140625" style="258"/>
    <col min="9189" max="9189" width="80.85546875" style="258" customWidth="1"/>
    <col min="9190" max="9195" width="0" style="258" hidden="1" customWidth="1"/>
    <col min="9196" max="9196" width="21.42578125" style="258" customWidth="1"/>
    <col min="9197" max="9201" width="0" style="258" hidden="1" customWidth="1"/>
    <col min="9202" max="9203" width="18.85546875" style="258" customWidth="1"/>
    <col min="9204" max="9204" width="21" style="258" customWidth="1"/>
    <col min="9205" max="9205" width="26.7109375" style="258" customWidth="1"/>
    <col min="9206" max="9206" width="22.5703125" style="258" customWidth="1"/>
    <col min="9207" max="9207" width="20.140625" style="258" customWidth="1"/>
    <col min="9208" max="9208" width="9.140625" style="258"/>
    <col min="9209" max="9209" width="11" style="258" bestFit="1" customWidth="1"/>
    <col min="9210" max="9444" width="9.140625" style="258"/>
    <col min="9445" max="9445" width="80.85546875" style="258" customWidth="1"/>
    <col min="9446" max="9451" width="0" style="258" hidden="1" customWidth="1"/>
    <col min="9452" max="9452" width="21.42578125" style="258" customWidth="1"/>
    <col min="9453" max="9457" width="0" style="258" hidden="1" customWidth="1"/>
    <col min="9458" max="9459" width="18.85546875" style="258" customWidth="1"/>
    <col min="9460" max="9460" width="21" style="258" customWidth="1"/>
    <col min="9461" max="9461" width="26.7109375" style="258" customWidth="1"/>
    <col min="9462" max="9462" width="22.5703125" style="258" customWidth="1"/>
    <col min="9463" max="9463" width="20.140625" style="258" customWidth="1"/>
    <col min="9464" max="9464" width="9.140625" style="258"/>
    <col min="9465" max="9465" width="11" style="258" bestFit="1" customWidth="1"/>
    <col min="9466" max="9700" width="9.140625" style="258"/>
    <col min="9701" max="9701" width="80.85546875" style="258" customWidth="1"/>
    <col min="9702" max="9707" width="0" style="258" hidden="1" customWidth="1"/>
    <col min="9708" max="9708" width="21.42578125" style="258" customWidth="1"/>
    <col min="9709" max="9713" width="0" style="258" hidden="1" customWidth="1"/>
    <col min="9714" max="9715" width="18.85546875" style="258" customWidth="1"/>
    <col min="9716" max="9716" width="21" style="258" customWidth="1"/>
    <col min="9717" max="9717" width="26.7109375" style="258" customWidth="1"/>
    <col min="9718" max="9718" width="22.5703125" style="258" customWidth="1"/>
    <col min="9719" max="9719" width="20.140625" style="258" customWidth="1"/>
    <col min="9720" max="9720" width="9.140625" style="258"/>
    <col min="9721" max="9721" width="11" style="258" bestFit="1" customWidth="1"/>
    <col min="9722" max="9956" width="9.140625" style="258"/>
    <col min="9957" max="9957" width="80.85546875" style="258" customWidth="1"/>
    <col min="9958" max="9963" width="0" style="258" hidden="1" customWidth="1"/>
    <col min="9964" max="9964" width="21.42578125" style="258" customWidth="1"/>
    <col min="9965" max="9969" width="0" style="258" hidden="1" customWidth="1"/>
    <col min="9970" max="9971" width="18.85546875" style="258" customWidth="1"/>
    <col min="9972" max="9972" width="21" style="258" customWidth="1"/>
    <col min="9973" max="9973" width="26.7109375" style="258" customWidth="1"/>
    <col min="9974" max="9974" width="22.5703125" style="258" customWidth="1"/>
    <col min="9975" max="9975" width="20.140625" style="258" customWidth="1"/>
    <col min="9976" max="9976" width="9.140625" style="258"/>
    <col min="9977" max="9977" width="11" style="258" bestFit="1" customWidth="1"/>
    <col min="9978" max="10212" width="9.140625" style="258"/>
    <col min="10213" max="10213" width="80.85546875" style="258" customWidth="1"/>
    <col min="10214" max="10219" width="0" style="258" hidden="1" customWidth="1"/>
    <col min="10220" max="10220" width="21.42578125" style="258" customWidth="1"/>
    <col min="10221" max="10225" width="0" style="258" hidden="1" customWidth="1"/>
    <col min="10226" max="10227" width="18.85546875" style="258" customWidth="1"/>
    <col min="10228" max="10228" width="21" style="258" customWidth="1"/>
    <col min="10229" max="10229" width="26.7109375" style="258" customWidth="1"/>
    <col min="10230" max="10230" width="22.5703125" style="258" customWidth="1"/>
    <col min="10231" max="10231" width="20.140625" style="258" customWidth="1"/>
    <col min="10232" max="10232" width="9.140625" style="258"/>
    <col min="10233" max="10233" width="11" style="258" bestFit="1" customWidth="1"/>
    <col min="10234" max="10468" width="9.140625" style="258"/>
    <col min="10469" max="10469" width="80.85546875" style="258" customWidth="1"/>
    <col min="10470" max="10475" width="0" style="258" hidden="1" customWidth="1"/>
    <col min="10476" max="10476" width="21.42578125" style="258" customWidth="1"/>
    <col min="10477" max="10481" width="0" style="258" hidden="1" customWidth="1"/>
    <col min="10482" max="10483" width="18.85546875" style="258" customWidth="1"/>
    <col min="10484" max="10484" width="21" style="258" customWidth="1"/>
    <col min="10485" max="10485" width="26.7109375" style="258" customWidth="1"/>
    <col min="10486" max="10486" width="22.5703125" style="258" customWidth="1"/>
    <col min="10487" max="10487" width="20.140625" style="258" customWidth="1"/>
    <col min="10488" max="10488" width="9.140625" style="258"/>
    <col min="10489" max="10489" width="11" style="258" bestFit="1" customWidth="1"/>
    <col min="10490" max="10724" width="9.140625" style="258"/>
    <col min="10725" max="10725" width="80.85546875" style="258" customWidth="1"/>
    <col min="10726" max="10731" width="0" style="258" hidden="1" customWidth="1"/>
    <col min="10732" max="10732" width="21.42578125" style="258" customWidth="1"/>
    <col min="10733" max="10737" width="0" style="258" hidden="1" customWidth="1"/>
    <col min="10738" max="10739" width="18.85546875" style="258" customWidth="1"/>
    <col min="10740" max="10740" width="21" style="258" customWidth="1"/>
    <col min="10741" max="10741" width="26.7109375" style="258" customWidth="1"/>
    <col min="10742" max="10742" width="22.5703125" style="258" customWidth="1"/>
    <col min="10743" max="10743" width="20.140625" style="258" customWidth="1"/>
    <col min="10744" max="10744" width="9.140625" style="258"/>
    <col min="10745" max="10745" width="11" style="258" bestFit="1" customWidth="1"/>
    <col min="10746" max="10980" width="9.140625" style="258"/>
    <col min="10981" max="10981" width="80.85546875" style="258" customWidth="1"/>
    <col min="10982" max="10987" width="0" style="258" hidden="1" customWidth="1"/>
    <col min="10988" max="10988" width="21.42578125" style="258" customWidth="1"/>
    <col min="10989" max="10993" width="0" style="258" hidden="1" customWidth="1"/>
    <col min="10994" max="10995" width="18.85546875" style="258" customWidth="1"/>
    <col min="10996" max="10996" width="21" style="258" customWidth="1"/>
    <col min="10997" max="10997" width="26.7109375" style="258" customWidth="1"/>
    <col min="10998" max="10998" width="22.5703125" style="258" customWidth="1"/>
    <col min="10999" max="10999" width="20.140625" style="258" customWidth="1"/>
    <col min="11000" max="11000" width="9.140625" style="258"/>
    <col min="11001" max="11001" width="11" style="258" bestFit="1" customWidth="1"/>
    <col min="11002" max="11236" width="9.140625" style="258"/>
    <col min="11237" max="11237" width="80.85546875" style="258" customWidth="1"/>
    <col min="11238" max="11243" width="0" style="258" hidden="1" customWidth="1"/>
    <col min="11244" max="11244" width="21.42578125" style="258" customWidth="1"/>
    <col min="11245" max="11249" width="0" style="258" hidden="1" customWidth="1"/>
    <col min="11250" max="11251" width="18.85546875" style="258" customWidth="1"/>
    <col min="11252" max="11252" width="21" style="258" customWidth="1"/>
    <col min="11253" max="11253" width="26.7109375" style="258" customWidth="1"/>
    <col min="11254" max="11254" width="22.5703125" style="258" customWidth="1"/>
    <col min="11255" max="11255" width="20.140625" style="258" customWidth="1"/>
    <col min="11256" max="11256" width="9.140625" style="258"/>
    <col min="11257" max="11257" width="11" style="258" bestFit="1" customWidth="1"/>
    <col min="11258" max="11492" width="9.140625" style="258"/>
    <col min="11493" max="11493" width="80.85546875" style="258" customWidth="1"/>
    <col min="11494" max="11499" width="0" style="258" hidden="1" customWidth="1"/>
    <col min="11500" max="11500" width="21.42578125" style="258" customWidth="1"/>
    <col min="11501" max="11505" width="0" style="258" hidden="1" customWidth="1"/>
    <col min="11506" max="11507" width="18.85546875" style="258" customWidth="1"/>
    <col min="11508" max="11508" width="21" style="258" customWidth="1"/>
    <col min="11509" max="11509" width="26.7109375" style="258" customWidth="1"/>
    <col min="11510" max="11510" width="22.5703125" style="258" customWidth="1"/>
    <col min="11511" max="11511" width="20.140625" style="258" customWidth="1"/>
    <col min="11512" max="11512" width="9.140625" style="258"/>
    <col min="11513" max="11513" width="11" style="258" bestFit="1" customWidth="1"/>
    <col min="11514" max="11748" width="9.140625" style="258"/>
    <col min="11749" max="11749" width="80.85546875" style="258" customWidth="1"/>
    <col min="11750" max="11755" width="0" style="258" hidden="1" customWidth="1"/>
    <col min="11756" max="11756" width="21.42578125" style="258" customWidth="1"/>
    <col min="11757" max="11761" width="0" style="258" hidden="1" customWidth="1"/>
    <col min="11762" max="11763" width="18.85546875" style="258" customWidth="1"/>
    <col min="11764" max="11764" width="21" style="258" customWidth="1"/>
    <col min="11765" max="11765" width="26.7109375" style="258" customWidth="1"/>
    <col min="11766" max="11766" width="22.5703125" style="258" customWidth="1"/>
    <col min="11767" max="11767" width="20.140625" style="258" customWidth="1"/>
    <col min="11768" max="11768" width="9.140625" style="258"/>
    <col min="11769" max="11769" width="11" style="258" bestFit="1" customWidth="1"/>
    <col min="11770" max="12004" width="9.140625" style="258"/>
    <col min="12005" max="12005" width="80.85546875" style="258" customWidth="1"/>
    <col min="12006" max="12011" width="0" style="258" hidden="1" customWidth="1"/>
    <col min="12012" max="12012" width="21.42578125" style="258" customWidth="1"/>
    <col min="12013" max="12017" width="0" style="258" hidden="1" customWidth="1"/>
    <col min="12018" max="12019" width="18.85546875" style="258" customWidth="1"/>
    <col min="12020" max="12020" width="21" style="258" customWidth="1"/>
    <col min="12021" max="12021" width="26.7109375" style="258" customWidth="1"/>
    <col min="12022" max="12022" width="22.5703125" style="258" customWidth="1"/>
    <col min="12023" max="12023" width="20.140625" style="258" customWidth="1"/>
    <col min="12024" max="12024" width="9.140625" style="258"/>
    <col min="12025" max="12025" width="11" style="258" bestFit="1" customWidth="1"/>
    <col min="12026" max="12260" width="9.140625" style="258"/>
    <col min="12261" max="12261" width="80.85546875" style="258" customWidth="1"/>
    <col min="12262" max="12267" width="0" style="258" hidden="1" customWidth="1"/>
    <col min="12268" max="12268" width="21.42578125" style="258" customWidth="1"/>
    <col min="12269" max="12273" width="0" style="258" hidden="1" customWidth="1"/>
    <col min="12274" max="12275" width="18.85546875" style="258" customWidth="1"/>
    <col min="12276" max="12276" width="21" style="258" customWidth="1"/>
    <col min="12277" max="12277" width="26.7109375" style="258" customWidth="1"/>
    <col min="12278" max="12278" width="22.5703125" style="258" customWidth="1"/>
    <col min="12279" max="12279" width="20.140625" style="258" customWidth="1"/>
    <col min="12280" max="12280" width="9.140625" style="258"/>
    <col min="12281" max="12281" width="11" style="258" bestFit="1" customWidth="1"/>
    <col min="12282" max="12516" width="9.140625" style="258"/>
    <col min="12517" max="12517" width="80.85546875" style="258" customWidth="1"/>
    <col min="12518" max="12523" width="0" style="258" hidden="1" customWidth="1"/>
    <col min="12524" max="12524" width="21.42578125" style="258" customWidth="1"/>
    <col min="12525" max="12529" width="0" style="258" hidden="1" customWidth="1"/>
    <col min="12530" max="12531" width="18.85546875" style="258" customWidth="1"/>
    <col min="12532" max="12532" width="21" style="258" customWidth="1"/>
    <col min="12533" max="12533" width="26.7109375" style="258" customWidth="1"/>
    <col min="12534" max="12534" width="22.5703125" style="258" customWidth="1"/>
    <col min="12535" max="12535" width="20.140625" style="258" customWidth="1"/>
    <col min="12536" max="12536" width="9.140625" style="258"/>
    <col min="12537" max="12537" width="11" style="258" bestFit="1" customWidth="1"/>
    <col min="12538" max="12772" width="9.140625" style="258"/>
    <col min="12773" max="12773" width="80.85546875" style="258" customWidth="1"/>
    <col min="12774" max="12779" width="0" style="258" hidden="1" customWidth="1"/>
    <col min="12780" max="12780" width="21.42578125" style="258" customWidth="1"/>
    <col min="12781" max="12785" width="0" style="258" hidden="1" customWidth="1"/>
    <col min="12786" max="12787" width="18.85546875" style="258" customWidth="1"/>
    <col min="12788" max="12788" width="21" style="258" customWidth="1"/>
    <col min="12789" max="12789" width="26.7109375" style="258" customWidth="1"/>
    <col min="12790" max="12790" width="22.5703125" style="258" customWidth="1"/>
    <col min="12791" max="12791" width="20.140625" style="258" customWidth="1"/>
    <col min="12792" max="12792" width="9.140625" style="258"/>
    <col min="12793" max="12793" width="11" style="258" bestFit="1" customWidth="1"/>
    <col min="12794" max="13028" width="9.140625" style="258"/>
    <col min="13029" max="13029" width="80.85546875" style="258" customWidth="1"/>
    <col min="13030" max="13035" width="0" style="258" hidden="1" customWidth="1"/>
    <col min="13036" max="13036" width="21.42578125" style="258" customWidth="1"/>
    <col min="13037" max="13041" width="0" style="258" hidden="1" customWidth="1"/>
    <col min="13042" max="13043" width="18.85546875" style="258" customWidth="1"/>
    <col min="13044" max="13044" width="21" style="258" customWidth="1"/>
    <col min="13045" max="13045" width="26.7109375" style="258" customWidth="1"/>
    <col min="13046" max="13046" width="22.5703125" style="258" customWidth="1"/>
    <col min="13047" max="13047" width="20.140625" style="258" customWidth="1"/>
    <col min="13048" max="13048" width="9.140625" style="258"/>
    <col min="13049" max="13049" width="11" style="258" bestFit="1" customWidth="1"/>
    <col min="13050" max="13284" width="9.140625" style="258"/>
    <col min="13285" max="13285" width="80.85546875" style="258" customWidth="1"/>
    <col min="13286" max="13291" width="0" style="258" hidden="1" customWidth="1"/>
    <col min="13292" max="13292" width="21.42578125" style="258" customWidth="1"/>
    <col min="13293" max="13297" width="0" style="258" hidden="1" customWidth="1"/>
    <col min="13298" max="13299" width="18.85546875" style="258" customWidth="1"/>
    <col min="13300" max="13300" width="21" style="258" customWidth="1"/>
    <col min="13301" max="13301" width="26.7109375" style="258" customWidth="1"/>
    <col min="13302" max="13302" width="22.5703125" style="258" customWidth="1"/>
    <col min="13303" max="13303" width="20.140625" style="258" customWidth="1"/>
    <col min="13304" max="13304" width="9.140625" style="258"/>
    <col min="13305" max="13305" width="11" style="258" bestFit="1" customWidth="1"/>
    <col min="13306" max="13540" width="9.140625" style="258"/>
    <col min="13541" max="13541" width="80.85546875" style="258" customWidth="1"/>
    <col min="13542" max="13547" width="0" style="258" hidden="1" customWidth="1"/>
    <col min="13548" max="13548" width="21.42578125" style="258" customWidth="1"/>
    <col min="13549" max="13553" width="0" style="258" hidden="1" customWidth="1"/>
    <col min="13554" max="13555" width="18.85546875" style="258" customWidth="1"/>
    <col min="13556" max="13556" width="21" style="258" customWidth="1"/>
    <col min="13557" max="13557" width="26.7109375" style="258" customWidth="1"/>
    <col min="13558" max="13558" width="22.5703125" style="258" customWidth="1"/>
    <col min="13559" max="13559" width="20.140625" style="258" customWidth="1"/>
    <col min="13560" max="13560" width="9.140625" style="258"/>
    <col min="13561" max="13561" width="11" style="258" bestFit="1" customWidth="1"/>
    <col min="13562" max="13796" width="9.140625" style="258"/>
    <col min="13797" max="13797" width="80.85546875" style="258" customWidth="1"/>
    <col min="13798" max="13803" width="0" style="258" hidden="1" customWidth="1"/>
    <col min="13804" max="13804" width="21.42578125" style="258" customWidth="1"/>
    <col min="13805" max="13809" width="0" style="258" hidden="1" customWidth="1"/>
    <col min="13810" max="13811" width="18.85546875" style="258" customWidth="1"/>
    <col min="13812" max="13812" width="21" style="258" customWidth="1"/>
    <col min="13813" max="13813" width="26.7109375" style="258" customWidth="1"/>
    <col min="13814" max="13814" width="22.5703125" style="258" customWidth="1"/>
    <col min="13815" max="13815" width="20.140625" style="258" customWidth="1"/>
    <col min="13816" max="13816" width="9.140625" style="258"/>
    <col min="13817" max="13817" width="11" style="258" bestFit="1" customWidth="1"/>
    <col min="13818" max="14052" width="9.140625" style="258"/>
    <col min="14053" max="14053" width="80.85546875" style="258" customWidth="1"/>
    <col min="14054" max="14059" width="0" style="258" hidden="1" customWidth="1"/>
    <col min="14060" max="14060" width="21.42578125" style="258" customWidth="1"/>
    <col min="14061" max="14065" width="0" style="258" hidden="1" customWidth="1"/>
    <col min="14066" max="14067" width="18.85546875" style="258" customWidth="1"/>
    <col min="14068" max="14068" width="21" style="258" customWidth="1"/>
    <col min="14069" max="14069" width="26.7109375" style="258" customWidth="1"/>
    <col min="14070" max="14070" width="22.5703125" style="258" customWidth="1"/>
    <col min="14071" max="14071" width="20.140625" style="258" customWidth="1"/>
    <col min="14072" max="14072" width="9.140625" style="258"/>
    <col min="14073" max="14073" width="11" style="258" bestFit="1" customWidth="1"/>
    <col min="14074" max="14308" width="9.140625" style="258"/>
    <col min="14309" max="14309" width="80.85546875" style="258" customWidth="1"/>
    <col min="14310" max="14315" width="0" style="258" hidden="1" customWidth="1"/>
    <col min="14316" max="14316" width="21.42578125" style="258" customWidth="1"/>
    <col min="14317" max="14321" width="0" style="258" hidden="1" customWidth="1"/>
    <col min="14322" max="14323" width="18.85546875" style="258" customWidth="1"/>
    <col min="14324" max="14324" width="21" style="258" customWidth="1"/>
    <col min="14325" max="14325" width="26.7109375" style="258" customWidth="1"/>
    <col min="14326" max="14326" width="22.5703125" style="258" customWidth="1"/>
    <col min="14327" max="14327" width="20.140625" style="258" customWidth="1"/>
    <col min="14328" max="14328" width="9.140625" style="258"/>
    <col min="14329" max="14329" width="11" style="258" bestFit="1" customWidth="1"/>
    <col min="14330" max="14564" width="9.140625" style="258"/>
    <col min="14565" max="14565" width="80.85546875" style="258" customWidth="1"/>
    <col min="14566" max="14571" width="0" style="258" hidden="1" customWidth="1"/>
    <col min="14572" max="14572" width="21.42578125" style="258" customWidth="1"/>
    <col min="14573" max="14577" width="0" style="258" hidden="1" customWidth="1"/>
    <col min="14578" max="14579" width="18.85546875" style="258" customWidth="1"/>
    <col min="14580" max="14580" width="21" style="258" customWidth="1"/>
    <col min="14581" max="14581" width="26.7109375" style="258" customWidth="1"/>
    <col min="14582" max="14582" width="22.5703125" style="258" customWidth="1"/>
    <col min="14583" max="14583" width="20.140625" style="258" customWidth="1"/>
    <col min="14584" max="14584" width="9.140625" style="258"/>
    <col min="14585" max="14585" width="11" style="258" bestFit="1" customWidth="1"/>
    <col min="14586" max="14820" width="9.140625" style="258"/>
    <col min="14821" max="14821" width="80.85546875" style="258" customWidth="1"/>
    <col min="14822" max="14827" width="0" style="258" hidden="1" customWidth="1"/>
    <col min="14828" max="14828" width="21.42578125" style="258" customWidth="1"/>
    <col min="14829" max="14833" width="0" style="258" hidden="1" customWidth="1"/>
    <col min="14834" max="14835" width="18.85546875" style="258" customWidth="1"/>
    <col min="14836" max="14836" width="21" style="258" customWidth="1"/>
    <col min="14837" max="14837" width="26.7109375" style="258" customWidth="1"/>
    <col min="14838" max="14838" width="22.5703125" style="258" customWidth="1"/>
    <col min="14839" max="14839" width="20.140625" style="258" customWidth="1"/>
    <col min="14840" max="14840" width="9.140625" style="258"/>
    <col min="14841" max="14841" width="11" style="258" bestFit="1" customWidth="1"/>
    <col min="14842" max="15076" width="9.140625" style="258"/>
    <col min="15077" max="15077" width="80.85546875" style="258" customWidth="1"/>
    <col min="15078" max="15083" width="0" style="258" hidden="1" customWidth="1"/>
    <col min="15084" max="15084" width="21.42578125" style="258" customWidth="1"/>
    <col min="15085" max="15089" width="0" style="258" hidden="1" customWidth="1"/>
    <col min="15090" max="15091" width="18.85546875" style="258" customWidth="1"/>
    <col min="15092" max="15092" width="21" style="258" customWidth="1"/>
    <col min="15093" max="15093" width="26.7109375" style="258" customWidth="1"/>
    <col min="15094" max="15094" width="22.5703125" style="258" customWidth="1"/>
    <col min="15095" max="15095" width="20.140625" style="258" customWidth="1"/>
    <col min="15096" max="15096" width="9.140625" style="258"/>
    <col min="15097" max="15097" width="11" style="258" bestFit="1" customWidth="1"/>
    <col min="15098" max="15332" width="9.140625" style="258"/>
    <col min="15333" max="15333" width="80.85546875" style="258" customWidth="1"/>
    <col min="15334" max="15339" width="0" style="258" hidden="1" customWidth="1"/>
    <col min="15340" max="15340" width="21.42578125" style="258" customWidth="1"/>
    <col min="15341" max="15345" width="0" style="258" hidden="1" customWidth="1"/>
    <col min="15346" max="15347" width="18.85546875" style="258" customWidth="1"/>
    <col min="15348" max="15348" width="21" style="258" customWidth="1"/>
    <col min="15349" max="15349" width="26.7109375" style="258" customWidth="1"/>
    <col min="15350" max="15350" width="22.5703125" style="258" customWidth="1"/>
    <col min="15351" max="15351" width="20.140625" style="258" customWidth="1"/>
    <col min="15352" max="15352" width="9.140625" style="258"/>
    <col min="15353" max="15353" width="11" style="258" bestFit="1" customWidth="1"/>
    <col min="15354" max="15588" width="9.140625" style="258"/>
    <col min="15589" max="15589" width="80.85546875" style="258" customWidth="1"/>
    <col min="15590" max="15595" width="0" style="258" hidden="1" customWidth="1"/>
    <col min="15596" max="15596" width="21.42578125" style="258" customWidth="1"/>
    <col min="15597" max="15601" width="0" style="258" hidden="1" customWidth="1"/>
    <col min="15602" max="15603" width="18.85546875" style="258" customWidth="1"/>
    <col min="15604" max="15604" width="21" style="258" customWidth="1"/>
    <col min="15605" max="15605" width="26.7109375" style="258" customWidth="1"/>
    <col min="15606" max="15606" width="22.5703125" style="258" customWidth="1"/>
    <col min="15607" max="15607" width="20.140625" style="258" customWidth="1"/>
    <col min="15608" max="15608" width="9.140625" style="258"/>
    <col min="15609" max="15609" width="11" style="258" bestFit="1" customWidth="1"/>
    <col min="15610" max="15844" width="9.140625" style="258"/>
    <col min="15845" max="15845" width="80.85546875" style="258" customWidth="1"/>
    <col min="15846" max="15851" width="0" style="258" hidden="1" customWidth="1"/>
    <col min="15852" max="15852" width="21.42578125" style="258" customWidth="1"/>
    <col min="15853" max="15857" width="0" style="258" hidden="1" customWidth="1"/>
    <col min="15858" max="15859" width="18.85546875" style="258" customWidth="1"/>
    <col min="15860" max="15860" width="21" style="258" customWidth="1"/>
    <col min="15861" max="15861" width="26.7109375" style="258" customWidth="1"/>
    <col min="15862" max="15862" width="22.5703125" style="258" customWidth="1"/>
    <col min="15863" max="15863" width="20.140625" style="258" customWidth="1"/>
    <col min="15864" max="15864" width="9.140625" style="258"/>
    <col min="15865" max="15865" width="11" style="258" bestFit="1" customWidth="1"/>
    <col min="15866" max="16100" width="9.140625" style="258"/>
    <col min="16101" max="16101" width="80.85546875" style="258" customWidth="1"/>
    <col min="16102" max="16107" width="0" style="258" hidden="1" customWidth="1"/>
    <col min="16108" max="16108" width="21.42578125" style="258" customWidth="1"/>
    <col min="16109" max="16113" width="0" style="258" hidden="1" customWidth="1"/>
    <col min="16114" max="16115" width="18.85546875" style="258" customWidth="1"/>
    <col min="16116" max="16116" width="21" style="258" customWidth="1"/>
    <col min="16117" max="16117" width="26.7109375" style="258" customWidth="1"/>
    <col min="16118" max="16118" width="22.5703125" style="258" customWidth="1"/>
    <col min="16119" max="16119" width="20.140625" style="258" customWidth="1"/>
    <col min="16120" max="16120" width="9.140625" style="258"/>
    <col min="16121" max="16121" width="11" style="258" bestFit="1" customWidth="1"/>
    <col min="16122" max="16384" width="9.140625" style="258"/>
  </cols>
  <sheetData>
    <row r="1" spans="1:9" ht="22.5" x14ac:dyDescent="0.3">
      <c r="E1" s="259"/>
      <c r="H1" s="477" t="s">
        <v>851</v>
      </c>
      <c r="I1" s="477"/>
    </row>
    <row r="2" spans="1:9" ht="25.5" x14ac:dyDescent="0.2">
      <c r="A2" s="478" t="s">
        <v>520</v>
      </c>
      <c r="B2" s="478"/>
      <c r="C2" s="478"/>
      <c r="D2" s="478"/>
      <c r="E2" s="478"/>
      <c r="F2" s="478"/>
      <c r="G2" s="478"/>
      <c r="H2" s="478"/>
      <c r="I2" s="478"/>
    </row>
    <row r="3" spans="1:9" ht="21" x14ac:dyDescent="0.35">
      <c r="B3" s="260"/>
      <c r="C3" s="260"/>
      <c r="D3" s="260"/>
      <c r="E3" s="260"/>
      <c r="F3" s="260"/>
      <c r="G3" s="260"/>
      <c r="I3" s="261" t="s">
        <v>521</v>
      </c>
    </row>
    <row r="4" spans="1:9" ht="20.25" x14ac:dyDescent="0.2">
      <c r="A4" s="479" t="s">
        <v>522</v>
      </c>
      <c r="B4" s="480"/>
      <c r="C4" s="480"/>
      <c r="D4" s="480"/>
      <c r="E4" s="480"/>
      <c r="F4" s="480"/>
      <c r="G4" s="480"/>
      <c r="H4" s="480"/>
      <c r="I4" s="481"/>
    </row>
    <row r="5" spans="1:9" ht="20.25" x14ac:dyDescent="0.2">
      <c r="A5" s="474" t="s">
        <v>221</v>
      </c>
      <c r="B5" s="475" t="s">
        <v>523</v>
      </c>
      <c r="C5" s="476" t="s">
        <v>524</v>
      </c>
      <c r="D5" s="476"/>
      <c r="E5" s="476" t="s">
        <v>525</v>
      </c>
      <c r="F5" s="476"/>
      <c r="G5" s="476"/>
      <c r="H5" s="476" t="s">
        <v>526</v>
      </c>
      <c r="I5" s="476"/>
    </row>
    <row r="6" spans="1:9" ht="40.5" x14ac:dyDescent="0.2">
      <c r="A6" s="474"/>
      <c r="B6" s="475"/>
      <c r="C6" s="262" t="s">
        <v>527</v>
      </c>
      <c r="D6" s="262" t="s">
        <v>528</v>
      </c>
      <c r="E6" s="262" t="s">
        <v>527</v>
      </c>
      <c r="F6" s="262" t="s">
        <v>528</v>
      </c>
      <c r="G6" s="263" t="s">
        <v>529</v>
      </c>
      <c r="H6" s="262" t="s">
        <v>527</v>
      </c>
      <c r="I6" s="264" t="s">
        <v>530</v>
      </c>
    </row>
    <row r="7" spans="1:9" ht="40.5" x14ac:dyDescent="0.2">
      <c r="A7" s="265">
        <v>1</v>
      </c>
      <c r="B7" s="266" t="s">
        <v>531</v>
      </c>
      <c r="C7" s="267">
        <f>+C8+C12</f>
        <v>10549</v>
      </c>
      <c r="D7" s="267">
        <f t="shared" ref="D7:I7" si="0">+D8+D12</f>
        <v>10549</v>
      </c>
      <c r="E7" s="267">
        <f t="shared" si="0"/>
        <v>12190</v>
      </c>
      <c r="F7" s="267">
        <f t="shared" si="0"/>
        <v>10431.441999999999</v>
      </c>
      <c r="G7" s="267">
        <f>+E7-F7</f>
        <v>1758.5580000000009</v>
      </c>
      <c r="H7" s="267">
        <f t="shared" si="0"/>
        <v>10967</v>
      </c>
      <c r="I7" s="267">
        <f t="shared" si="0"/>
        <v>0</v>
      </c>
    </row>
    <row r="8" spans="1:9" ht="20.25" x14ac:dyDescent="0.2">
      <c r="A8" s="265"/>
      <c r="B8" s="268" t="s">
        <v>532</v>
      </c>
      <c r="C8" s="269">
        <f>+C9+C16</f>
        <v>10549</v>
      </c>
      <c r="D8" s="269">
        <f t="shared" ref="D8:I8" si="1">+D9+D16</f>
        <v>10549</v>
      </c>
      <c r="E8" s="269">
        <f>+E9+E16</f>
        <v>12190</v>
      </c>
      <c r="F8" s="269">
        <f t="shared" si="1"/>
        <v>10431.441999999999</v>
      </c>
      <c r="G8" s="269">
        <f t="shared" ref="G8:G17" si="2">+E8-F8</f>
        <v>1758.5580000000009</v>
      </c>
      <c r="H8" s="269">
        <f t="shared" si="1"/>
        <v>10967</v>
      </c>
      <c r="I8" s="269">
        <f t="shared" si="1"/>
        <v>0</v>
      </c>
    </row>
    <row r="9" spans="1:9" s="272" customFormat="1" ht="20.25" x14ac:dyDescent="0.25">
      <c r="A9" s="265"/>
      <c r="B9" s="270" t="s">
        <v>533</v>
      </c>
      <c r="C9" s="271">
        <f>+C10+C11</f>
        <v>10549</v>
      </c>
      <c r="D9" s="271">
        <f t="shared" ref="D9:I9" si="3">+D10+D11</f>
        <v>10549</v>
      </c>
      <c r="E9" s="271">
        <f t="shared" si="3"/>
        <v>10626</v>
      </c>
      <c r="F9" s="271">
        <f t="shared" si="3"/>
        <v>10431.441999999999</v>
      </c>
      <c r="G9" s="271">
        <f t="shared" si="2"/>
        <v>194.5580000000009</v>
      </c>
      <c r="H9" s="271">
        <f t="shared" si="3"/>
        <v>10967</v>
      </c>
      <c r="I9" s="271">
        <f t="shared" si="3"/>
        <v>0</v>
      </c>
    </row>
    <row r="10" spans="1:9" s="272" customFormat="1" ht="20.25" x14ac:dyDescent="0.25">
      <c r="A10" s="265"/>
      <c r="B10" s="273" t="s">
        <v>534</v>
      </c>
      <c r="C10" s="274">
        <v>10549</v>
      </c>
      <c r="D10" s="274">
        <v>10549</v>
      </c>
      <c r="E10" s="275">
        <v>10626</v>
      </c>
      <c r="F10" s="275">
        <v>10431.441999999999</v>
      </c>
      <c r="G10" s="276">
        <f t="shared" si="2"/>
        <v>194.5580000000009</v>
      </c>
      <c r="H10" s="275">
        <v>10967</v>
      </c>
      <c r="I10" s="275"/>
    </row>
    <row r="11" spans="1:9" ht="20.25" x14ac:dyDescent="0.2">
      <c r="A11" s="265"/>
      <c r="B11" s="277" t="s">
        <v>535</v>
      </c>
      <c r="C11" s="278"/>
      <c r="D11" s="278"/>
      <c r="E11" s="278"/>
      <c r="F11" s="278"/>
      <c r="G11" s="278"/>
      <c r="H11" s="278"/>
      <c r="I11" s="278"/>
    </row>
    <row r="12" spans="1:9" s="272" customFormat="1" ht="40.5" x14ac:dyDescent="0.3">
      <c r="A12" s="265"/>
      <c r="B12" s="279" t="s">
        <v>536</v>
      </c>
      <c r="C12" s="280">
        <f>C13+C14</f>
        <v>0</v>
      </c>
      <c r="D12" s="280">
        <f t="shared" ref="D12:F12" si="4">D13+D14</f>
        <v>0</v>
      </c>
      <c r="E12" s="280">
        <f t="shared" si="4"/>
        <v>0</v>
      </c>
      <c r="F12" s="280">
        <f t="shared" si="4"/>
        <v>0</v>
      </c>
      <c r="G12" s="281">
        <f>+E12-F12</f>
        <v>0</v>
      </c>
      <c r="H12" s="281"/>
      <c r="I12" s="281"/>
    </row>
    <row r="13" spans="1:9" s="272" customFormat="1" ht="81" x14ac:dyDescent="0.3">
      <c r="A13" s="265"/>
      <c r="B13" s="282" t="s">
        <v>537</v>
      </c>
      <c r="C13" s="283"/>
      <c r="D13" s="283"/>
      <c r="E13" s="284"/>
      <c r="F13" s="284"/>
      <c r="G13" s="284"/>
      <c r="H13" s="281"/>
      <c r="I13" s="281"/>
    </row>
    <row r="14" spans="1:9" ht="20.25" x14ac:dyDescent="0.3">
      <c r="A14" s="265"/>
      <c r="B14" s="282" t="s">
        <v>538</v>
      </c>
      <c r="C14" s="283"/>
      <c r="D14" s="283"/>
      <c r="E14" s="284"/>
      <c r="F14" s="284"/>
      <c r="G14" s="284">
        <f t="shared" si="2"/>
        <v>0</v>
      </c>
      <c r="H14" s="281"/>
      <c r="I14" s="281"/>
    </row>
    <row r="15" spans="1:9" ht="20.25" x14ac:dyDescent="0.3">
      <c r="A15" s="265"/>
      <c r="B15" s="285" t="s">
        <v>539</v>
      </c>
      <c r="C15" s="286"/>
      <c r="D15" s="286"/>
      <c r="E15" s="286"/>
      <c r="F15" s="286"/>
      <c r="G15" s="286">
        <f>+E15-F15</f>
        <v>0</v>
      </c>
      <c r="H15" s="284"/>
      <c r="I15" s="287"/>
    </row>
    <row r="16" spans="1:9" ht="20.25" x14ac:dyDescent="0.3">
      <c r="A16" s="265"/>
      <c r="B16" s="288" t="s">
        <v>540</v>
      </c>
      <c r="C16" s="289"/>
      <c r="D16" s="289"/>
      <c r="E16" s="289">
        <v>1564</v>
      </c>
      <c r="F16" s="289"/>
      <c r="G16" s="286">
        <f>+E16-F16</f>
        <v>1564</v>
      </c>
      <c r="H16" s="284"/>
      <c r="I16" s="290"/>
    </row>
    <row r="17" spans="1:9" ht="20.25" x14ac:dyDescent="0.3">
      <c r="A17" s="265"/>
      <c r="B17" s="288" t="s">
        <v>541</v>
      </c>
      <c r="C17" s="291">
        <v>0</v>
      </c>
      <c r="D17" s="291">
        <v>0</v>
      </c>
      <c r="E17" s="291">
        <v>0</v>
      </c>
      <c r="F17" s="291"/>
      <c r="G17" s="291">
        <f t="shared" si="2"/>
        <v>0</v>
      </c>
      <c r="H17" s="284"/>
      <c r="I17" s="292"/>
    </row>
    <row r="18" spans="1:9" ht="20.25" x14ac:dyDescent="0.2">
      <c r="A18" s="474" t="str">
        <f>A5</f>
        <v>№ п/п</v>
      </c>
      <c r="B18" s="475" t="s">
        <v>542</v>
      </c>
      <c r="C18" s="475"/>
      <c r="D18" s="475"/>
      <c r="E18" s="475"/>
      <c r="F18" s="475"/>
      <c r="G18" s="475"/>
      <c r="H18" s="475"/>
      <c r="I18" s="475"/>
    </row>
    <row r="19" spans="1:9" ht="20.25" x14ac:dyDescent="0.2">
      <c r="A19" s="474"/>
      <c r="B19" s="475" t="s">
        <v>523</v>
      </c>
      <c r="C19" s="476" t="s">
        <v>524</v>
      </c>
      <c r="D19" s="476"/>
      <c r="E19" s="476" t="s">
        <v>525</v>
      </c>
      <c r="F19" s="476"/>
      <c r="G19" s="476"/>
      <c r="H19" s="476" t="s">
        <v>526</v>
      </c>
      <c r="I19" s="476"/>
    </row>
    <row r="20" spans="1:9" ht="40.5" x14ac:dyDescent="0.2">
      <c r="A20" s="474"/>
      <c r="B20" s="475"/>
      <c r="C20" s="262" t="s">
        <v>527</v>
      </c>
      <c r="D20" s="262" t="s">
        <v>528</v>
      </c>
      <c r="E20" s="262" t="s">
        <v>527</v>
      </c>
      <c r="F20" s="262" t="s">
        <v>528</v>
      </c>
      <c r="G20" s="263" t="s">
        <v>529</v>
      </c>
      <c r="H20" s="262" t="s">
        <v>527</v>
      </c>
      <c r="I20" s="264" t="s">
        <v>530</v>
      </c>
    </row>
    <row r="21" spans="1:9" ht="20.25" x14ac:dyDescent="0.3">
      <c r="A21" s="293">
        <v>1</v>
      </c>
      <c r="B21" s="294" t="s">
        <v>543</v>
      </c>
      <c r="C21" s="295">
        <f>C22+C31+C32+C33+C34+C35</f>
        <v>6115.2999999999993</v>
      </c>
      <c r="D21" s="295">
        <f>D22+D31+D32+D33+D34+D35</f>
        <v>6064.7999999999993</v>
      </c>
      <c r="E21" s="295">
        <f>E22+E31+E32+E33+E34+E35</f>
        <v>8714.8340000000007</v>
      </c>
      <c r="F21" s="295">
        <f>F22+F31+F32+F33+F34+F35</f>
        <v>8644.6681499999995</v>
      </c>
      <c r="G21" s="295">
        <f>SUM(G22:G34)</f>
        <v>70.165850000000319</v>
      </c>
      <c r="H21" s="295">
        <f>H22+H31+H32+H33+H34+H35</f>
        <v>10967</v>
      </c>
      <c r="I21" s="295">
        <f>I22+I31+I32+I33+I34+I35</f>
        <v>0</v>
      </c>
    </row>
    <row r="22" spans="1:9" ht="58.5" x14ac:dyDescent="0.3">
      <c r="A22" s="296" t="s">
        <v>544</v>
      </c>
      <c r="B22" s="297" t="s">
        <v>545</v>
      </c>
      <c r="C22" s="298">
        <f>SUM(C23:C30)</f>
        <v>6115.2999999999993</v>
      </c>
      <c r="D22" s="298">
        <f>D24+D25+D26+D27+D28+D29+D30</f>
        <v>6064.7999999999993</v>
      </c>
      <c r="E22" s="298">
        <f>SUM(E23:E30)</f>
        <v>578.91800000000001</v>
      </c>
      <c r="F22" s="298">
        <f>SUM(F23:F30)</f>
        <v>578.91800000000001</v>
      </c>
      <c r="G22" s="278">
        <f>+E22-F22</f>
        <v>0</v>
      </c>
      <c r="H22" s="298">
        <f>SUM(H23:H30)</f>
        <v>10967</v>
      </c>
      <c r="I22" s="298">
        <f>SUM(I23:I30)</f>
        <v>0</v>
      </c>
    </row>
    <row r="23" spans="1:9" ht="20.25" x14ac:dyDescent="0.3">
      <c r="A23" s="296"/>
      <c r="B23" s="297" t="s">
        <v>546</v>
      </c>
      <c r="C23" s="298"/>
      <c r="D23" s="298"/>
      <c r="E23" s="298"/>
      <c r="F23" s="298"/>
      <c r="G23" s="278">
        <f t="shared" ref="G23:G35" si="5">+E23-F23</f>
        <v>0</v>
      </c>
      <c r="H23" s="299"/>
      <c r="I23" s="299"/>
    </row>
    <row r="24" spans="1:9" ht="39" x14ac:dyDescent="0.3">
      <c r="A24" s="296"/>
      <c r="B24" s="297" t="s">
        <v>547</v>
      </c>
      <c r="C24" s="298">
        <v>44.4</v>
      </c>
      <c r="D24" s="298">
        <v>44.4</v>
      </c>
      <c r="E24" s="298">
        <v>39.177999999999997</v>
      </c>
      <c r="F24" s="298">
        <v>39.177999999999997</v>
      </c>
      <c r="G24" s="278">
        <f t="shared" si="5"/>
        <v>0</v>
      </c>
      <c r="H24" s="299"/>
      <c r="I24" s="299"/>
    </row>
    <row r="25" spans="1:9" ht="39" x14ac:dyDescent="0.3">
      <c r="A25" s="296"/>
      <c r="B25" s="297" t="s">
        <v>548</v>
      </c>
      <c r="C25" s="298"/>
      <c r="D25" s="298"/>
      <c r="E25" s="298">
        <v>125</v>
      </c>
      <c r="F25" s="298">
        <v>125</v>
      </c>
      <c r="G25" s="278">
        <f t="shared" si="5"/>
        <v>0</v>
      </c>
      <c r="H25" s="299"/>
      <c r="I25" s="299"/>
    </row>
    <row r="26" spans="1:9" ht="20.25" x14ac:dyDescent="0.3">
      <c r="A26" s="296"/>
      <c r="B26" s="297" t="s">
        <v>549</v>
      </c>
      <c r="C26" s="298">
        <v>110.4</v>
      </c>
      <c r="D26" s="298">
        <v>110.4</v>
      </c>
      <c r="E26" s="298"/>
      <c r="F26" s="298"/>
      <c r="G26" s="278">
        <f t="shared" si="5"/>
        <v>0</v>
      </c>
      <c r="H26" s="299"/>
      <c r="I26" s="299"/>
    </row>
    <row r="27" spans="1:9" ht="20.25" x14ac:dyDescent="0.3">
      <c r="A27" s="296"/>
      <c r="B27" s="297" t="s">
        <v>550</v>
      </c>
      <c r="C27" s="298">
        <v>172.4</v>
      </c>
      <c r="D27" s="298">
        <v>172.4</v>
      </c>
      <c r="E27" s="298">
        <v>314.74</v>
      </c>
      <c r="F27" s="298">
        <v>314.74</v>
      </c>
      <c r="G27" s="278">
        <f t="shared" si="5"/>
        <v>0</v>
      </c>
      <c r="H27" s="299">
        <v>1150</v>
      </c>
      <c r="I27" s="299"/>
    </row>
    <row r="28" spans="1:9" ht="20.25" x14ac:dyDescent="0.3">
      <c r="A28" s="296"/>
      <c r="B28" s="297" t="s">
        <v>551</v>
      </c>
      <c r="C28" s="298">
        <v>5662.7</v>
      </c>
      <c r="D28" s="298">
        <v>5612.2</v>
      </c>
      <c r="E28" s="298"/>
      <c r="F28" s="298"/>
      <c r="G28" s="278">
        <f t="shared" si="5"/>
        <v>0</v>
      </c>
      <c r="H28" s="299">
        <v>8967</v>
      </c>
      <c r="I28" s="299"/>
    </row>
    <row r="29" spans="1:9" ht="20.25" x14ac:dyDescent="0.3">
      <c r="A29" s="296"/>
      <c r="B29" s="297" t="s">
        <v>552</v>
      </c>
      <c r="C29" s="298">
        <v>120.4</v>
      </c>
      <c r="D29" s="298">
        <v>120.4</v>
      </c>
      <c r="E29" s="298">
        <v>100</v>
      </c>
      <c r="F29" s="298">
        <v>100</v>
      </c>
      <c r="G29" s="278">
        <f t="shared" si="5"/>
        <v>0</v>
      </c>
      <c r="H29" s="299">
        <v>500</v>
      </c>
      <c r="I29" s="299"/>
    </row>
    <row r="30" spans="1:9" ht="20.25" x14ac:dyDescent="0.3">
      <c r="A30" s="296"/>
      <c r="B30" s="297" t="s">
        <v>553</v>
      </c>
      <c r="C30" s="298">
        <v>5</v>
      </c>
      <c r="D30" s="298">
        <v>5</v>
      </c>
      <c r="E30" s="298"/>
      <c r="F30" s="298"/>
      <c r="G30" s="278">
        <f t="shared" si="5"/>
        <v>0</v>
      </c>
      <c r="H30" s="299">
        <v>350</v>
      </c>
      <c r="I30" s="299"/>
    </row>
    <row r="31" spans="1:9" s="272" customFormat="1" ht="20.25" x14ac:dyDescent="0.3">
      <c r="A31" s="296" t="s">
        <v>554</v>
      </c>
      <c r="B31" s="297" t="s">
        <v>555</v>
      </c>
      <c r="C31" s="298"/>
      <c r="D31" s="298"/>
      <c r="E31" s="298"/>
      <c r="F31" s="298"/>
      <c r="G31" s="278">
        <f t="shared" si="5"/>
        <v>0</v>
      </c>
      <c r="H31" s="300"/>
      <c r="I31" s="300"/>
    </row>
    <row r="32" spans="1:9" s="301" customFormat="1" ht="39.75" x14ac:dyDescent="0.35">
      <c r="A32" s="296" t="s">
        <v>556</v>
      </c>
      <c r="B32" s="297" t="s">
        <v>557</v>
      </c>
      <c r="C32" s="298"/>
      <c r="D32" s="298"/>
      <c r="E32" s="298">
        <v>8125.9160000000002</v>
      </c>
      <c r="F32" s="298">
        <v>8055.7501499999998</v>
      </c>
      <c r="G32" s="278">
        <f t="shared" si="5"/>
        <v>70.165850000000319</v>
      </c>
      <c r="H32" s="300"/>
      <c r="I32" s="300"/>
    </row>
    <row r="33" spans="1:9" ht="81" x14ac:dyDescent="0.3">
      <c r="A33" s="296" t="s">
        <v>558</v>
      </c>
      <c r="B33" s="282" t="s">
        <v>559</v>
      </c>
      <c r="C33" s="298"/>
      <c r="D33" s="298"/>
      <c r="E33" s="298"/>
      <c r="F33" s="298"/>
      <c r="G33" s="278">
        <f t="shared" si="5"/>
        <v>0</v>
      </c>
      <c r="H33" s="300"/>
      <c r="I33" s="300"/>
    </row>
    <row r="34" spans="1:9" s="303" customFormat="1" ht="81" x14ac:dyDescent="0.3">
      <c r="A34" s="296" t="s">
        <v>560</v>
      </c>
      <c r="B34" s="302" t="s">
        <v>561</v>
      </c>
      <c r="C34" s="298"/>
      <c r="D34" s="298"/>
      <c r="E34" s="298"/>
      <c r="F34" s="298"/>
      <c r="G34" s="278">
        <f t="shared" si="5"/>
        <v>0</v>
      </c>
      <c r="H34" s="300"/>
      <c r="I34" s="300"/>
    </row>
    <row r="35" spans="1:9" s="303" customFormat="1" ht="20.25" x14ac:dyDescent="0.3">
      <c r="A35" s="296" t="s">
        <v>562</v>
      </c>
      <c r="B35" s="304" t="s">
        <v>563</v>
      </c>
      <c r="C35" s="298"/>
      <c r="D35" s="298"/>
      <c r="E35" s="298">
        <v>10</v>
      </c>
      <c r="F35" s="298">
        <v>10</v>
      </c>
      <c r="G35" s="278">
        <f t="shared" si="5"/>
        <v>0</v>
      </c>
      <c r="H35" s="300"/>
      <c r="I35" s="300"/>
    </row>
    <row r="36" spans="1:9" s="303" customFormat="1" ht="40.5" x14ac:dyDescent="0.3">
      <c r="A36" s="296" t="s">
        <v>302</v>
      </c>
      <c r="B36" s="294" t="s">
        <v>564</v>
      </c>
      <c r="C36" s="295">
        <f>C37+C39+C40</f>
        <v>0</v>
      </c>
      <c r="D36" s="295">
        <f t="shared" ref="D36:F36" si="6">D37+D39+D40</f>
        <v>0</v>
      </c>
      <c r="E36" s="295">
        <f t="shared" si="6"/>
        <v>0</v>
      </c>
      <c r="F36" s="295">
        <f t="shared" si="6"/>
        <v>0</v>
      </c>
      <c r="G36" s="295">
        <f>G37+G39+G40</f>
        <v>0</v>
      </c>
      <c r="H36" s="295">
        <f t="shared" ref="H36:I36" si="7">H37+H39+H40</f>
        <v>0</v>
      </c>
      <c r="I36" s="295">
        <f t="shared" si="7"/>
        <v>0</v>
      </c>
    </row>
    <row r="37" spans="1:9" ht="39" x14ac:dyDescent="0.3">
      <c r="A37" s="296" t="s">
        <v>565</v>
      </c>
      <c r="B37" s="297" t="s">
        <v>566</v>
      </c>
      <c r="C37" s="298">
        <f t="shared" ref="C37:I37" si="8">SUM(C38:C38)</f>
        <v>0</v>
      </c>
      <c r="D37" s="298">
        <f t="shared" si="8"/>
        <v>0</v>
      </c>
      <c r="E37" s="298">
        <f t="shared" si="8"/>
        <v>0</v>
      </c>
      <c r="F37" s="298">
        <f t="shared" si="8"/>
        <v>0</v>
      </c>
      <c r="G37" s="298">
        <f t="shared" si="8"/>
        <v>0</v>
      </c>
      <c r="H37" s="298">
        <f t="shared" si="8"/>
        <v>0</v>
      </c>
      <c r="I37" s="298">
        <f t="shared" si="8"/>
        <v>0</v>
      </c>
    </row>
    <row r="38" spans="1:9" ht="20.25" x14ac:dyDescent="0.3">
      <c r="A38" s="296" t="s">
        <v>567</v>
      </c>
      <c r="B38" s="297" t="s">
        <v>568</v>
      </c>
      <c r="C38" s="298"/>
      <c r="D38" s="298"/>
      <c r="E38" s="298"/>
      <c r="F38" s="298"/>
      <c r="G38" s="278"/>
      <c r="H38" s="300"/>
      <c r="I38" s="300"/>
    </row>
    <row r="39" spans="1:9" ht="58.5" x14ac:dyDescent="0.3">
      <c r="A39" s="296" t="s">
        <v>569</v>
      </c>
      <c r="B39" s="297" t="s">
        <v>570</v>
      </c>
      <c r="C39" s="298"/>
      <c r="D39" s="298"/>
      <c r="E39" s="298"/>
      <c r="F39" s="298"/>
      <c r="G39" s="278">
        <f t="shared" ref="G39:G40" si="9">+E39-F39</f>
        <v>0</v>
      </c>
      <c r="H39" s="300"/>
      <c r="I39" s="300"/>
    </row>
    <row r="40" spans="1:9" ht="97.5" x14ac:dyDescent="0.3">
      <c r="A40" s="296" t="s">
        <v>571</v>
      </c>
      <c r="B40" s="305" t="s">
        <v>572</v>
      </c>
      <c r="C40" s="298"/>
      <c r="D40" s="298"/>
      <c r="E40" s="298"/>
      <c r="F40" s="298"/>
      <c r="G40" s="278">
        <f t="shared" si="9"/>
        <v>0</v>
      </c>
      <c r="H40" s="300"/>
      <c r="I40" s="300"/>
    </row>
    <row r="41" spans="1:9" ht="40.5" x14ac:dyDescent="0.3">
      <c r="A41" s="296" t="s">
        <v>304</v>
      </c>
      <c r="B41" s="294" t="s">
        <v>573</v>
      </c>
      <c r="C41" s="295">
        <f>+C42+C43</f>
        <v>0</v>
      </c>
      <c r="D41" s="295">
        <f t="shared" ref="D41:I41" si="10">+D42+D43</f>
        <v>0</v>
      </c>
      <c r="E41" s="295">
        <f t="shared" si="10"/>
        <v>0</v>
      </c>
      <c r="F41" s="295">
        <f t="shared" si="10"/>
        <v>0</v>
      </c>
      <c r="G41" s="295">
        <f t="shared" si="10"/>
        <v>0</v>
      </c>
      <c r="H41" s="295">
        <f t="shared" si="10"/>
        <v>0</v>
      </c>
      <c r="I41" s="295">
        <f t="shared" si="10"/>
        <v>0</v>
      </c>
    </row>
    <row r="42" spans="1:9" ht="81" x14ac:dyDescent="0.3">
      <c r="A42" s="296" t="s">
        <v>574</v>
      </c>
      <c r="B42" s="282" t="s">
        <v>537</v>
      </c>
      <c r="C42" s="306"/>
      <c r="D42" s="306"/>
      <c r="E42" s="306"/>
      <c r="F42" s="306"/>
      <c r="G42" s="278">
        <f t="shared" ref="G42:G43" si="11">+E42-F42</f>
        <v>0</v>
      </c>
      <c r="H42" s="306"/>
      <c r="I42" s="306"/>
    </row>
    <row r="43" spans="1:9" ht="20.25" x14ac:dyDescent="0.3">
      <c r="A43" s="296" t="s">
        <v>575</v>
      </c>
      <c r="B43" s="282" t="s">
        <v>538</v>
      </c>
      <c r="C43" s="306"/>
      <c r="D43" s="306"/>
      <c r="E43" s="306"/>
      <c r="F43" s="306"/>
      <c r="G43" s="278">
        <f t="shared" si="11"/>
        <v>0</v>
      </c>
      <c r="H43" s="306"/>
      <c r="I43" s="306"/>
    </row>
    <row r="44" spans="1:9" ht="20.25" x14ac:dyDescent="0.3">
      <c r="A44" s="296" t="s">
        <v>576</v>
      </c>
      <c r="B44" s="307" t="s">
        <v>577</v>
      </c>
      <c r="C44" s="308">
        <f t="shared" ref="C44:I44" si="12">+C21+C36</f>
        <v>6115.2999999999993</v>
      </c>
      <c r="D44" s="308">
        <f t="shared" si="12"/>
        <v>6064.7999999999993</v>
      </c>
      <c r="E44" s="308">
        <f t="shared" si="12"/>
        <v>8714.8340000000007</v>
      </c>
      <c r="F44" s="308">
        <f t="shared" si="12"/>
        <v>8644.6681499999995</v>
      </c>
      <c r="G44" s="308">
        <f t="shared" si="12"/>
        <v>70.165850000000319</v>
      </c>
      <c r="H44" s="308">
        <f t="shared" si="12"/>
        <v>10967</v>
      </c>
      <c r="I44" s="308">
        <f t="shared" si="12"/>
        <v>0</v>
      </c>
    </row>
    <row r="45" spans="1:9" ht="20.25" x14ac:dyDescent="0.3">
      <c r="A45" s="296" t="s">
        <v>578</v>
      </c>
      <c r="B45" s="309" t="s">
        <v>579</v>
      </c>
      <c r="C45" s="310">
        <f>+C44+C41</f>
        <v>6115.2999999999993</v>
      </c>
      <c r="D45" s="310">
        <f>+D44+D41</f>
        <v>6064.7999999999993</v>
      </c>
      <c r="E45" s="310">
        <f t="shared" ref="E45:I45" si="13">+E44+E41</f>
        <v>8714.8340000000007</v>
      </c>
      <c r="F45" s="310">
        <f t="shared" si="13"/>
        <v>8644.6681499999995</v>
      </c>
      <c r="G45" s="310">
        <f t="shared" si="13"/>
        <v>70.165850000000319</v>
      </c>
      <c r="H45" s="310">
        <f t="shared" si="13"/>
        <v>10967</v>
      </c>
      <c r="I45" s="310">
        <f t="shared" si="13"/>
        <v>0</v>
      </c>
    </row>
    <row r="46" spans="1:9" ht="58.5" x14ac:dyDescent="0.3">
      <c r="A46" s="311" t="s">
        <v>580</v>
      </c>
      <c r="B46" s="312" t="s">
        <v>581</v>
      </c>
      <c r="C46" s="298"/>
      <c r="D46" s="298"/>
      <c r="E46" s="298"/>
      <c r="F46" s="298"/>
      <c r="G46" s="298"/>
      <c r="H46" s="298"/>
      <c r="I46" s="298"/>
    </row>
    <row r="47" spans="1:9" ht="30" x14ac:dyDescent="0.4">
      <c r="A47" s="272"/>
      <c r="B47" s="313"/>
      <c r="C47" s="314"/>
      <c r="D47" s="314"/>
      <c r="E47" s="314"/>
      <c r="F47" s="314"/>
      <c r="G47" s="314"/>
      <c r="H47" s="315"/>
      <c r="I47" s="272"/>
    </row>
  </sheetData>
  <mergeCells count="14">
    <mergeCell ref="H1:I1"/>
    <mergeCell ref="A2:I2"/>
    <mergeCell ref="A4:I4"/>
    <mergeCell ref="A5:A6"/>
    <mergeCell ref="B5:B6"/>
    <mergeCell ref="C5:D5"/>
    <mergeCell ref="E5:G5"/>
    <mergeCell ref="H5:I5"/>
    <mergeCell ref="A18:A20"/>
    <mergeCell ref="B18:I18"/>
    <mergeCell ref="B19:B20"/>
    <mergeCell ref="C19:D19"/>
    <mergeCell ref="E19:G19"/>
    <mergeCell ref="H19:I19"/>
  </mergeCells>
  <pageMargins left="0.59055118110236227" right="0.19685039370078741" top="0.19685039370078741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ист</vt:lpstr>
      <vt:lpstr>дох</vt:lpstr>
      <vt:lpstr>функ</vt:lpstr>
      <vt:lpstr>вед</vt:lpstr>
      <vt:lpstr>прогрограммы 4</vt:lpstr>
      <vt:lpstr>прил5</vt:lpstr>
      <vt:lpstr>прил7 с</vt:lpstr>
      <vt:lpstr>прил 8</vt:lpstr>
      <vt:lpstr>ДОР</vt:lpstr>
      <vt:lpstr>РФ</vt:lpstr>
      <vt:lpstr>СФ</vt:lpstr>
      <vt:lpstr>конс</vt:lpstr>
      <vt:lpstr>Лист1</vt:lpstr>
      <vt:lpstr>прил5!Область_печати</vt:lpstr>
      <vt:lpstr>'прогрограммы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2021-07-14T10:45:43Z</dcterms:modified>
</cp:coreProperties>
</file>